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c\Desktop\MyPC\Doc\Prodotti\CUBO2_Smart\ChargeCalculator\"/>
    </mc:Choice>
  </mc:AlternateContent>
  <bookViews>
    <workbookView xWindow="0" yWindow="0" windowWidth="23040" windowHeight="9192"/>
  </bookViews>
  <sheets>
    <sheet name="Calculator" sheetId="2" r:id="rId1"/>
    <sheet name="Revision Log" sheetId="1" state="hidden" r:id="rId2"/>
    <sheet name="Reserved" sheetId="3" state="hidden" r:id="rId3"/>
  </sheets>
  <calcPr calcId="162913"/>
</workbook>
</file>

<file path=xl/calcChain.xml><?xml version="1.0" encoding="utf-8"?>
<calcChain xmlns="http://schemas.openxmlformats.org/spreadsheetml/2006/main">
  <c r="F30" i="2" l="1"/>
  <c r="F29" i="2"/>
  <c r="F28" i="2"/>
  <c r="F23" i="2"/>
  <c r="F25" i="2" s="1"/>
  <c r="F19" i="2"/>
  <c r="F18" i="2"/>
  <c r="F17" i="2"/>
  <c r="F16" i="2"/>
  <c r="F15" i="2"/>
  <c r="F11" i="2"/>
  <c r="F10" i="2"/>
  <c r="F9" i="2"/>
  <c r="F20" i="2" l="1"/>
  <c r="F12" i="2"/>
  <c r="F31" i="2"/>
  <c r="E37" i="2" l="1"/>
  <c r="F37" i="2" s="1"/>
  <c r="E34" i="2"/>
  <c r="E39" i="2" s="1"/>
  <c r="E36" i="2"/>
  <c r="F34" i="2" s="1"/>
  <c r="F36" i="2" l="1"/>
</calcChain>
</file>

<file path=xl/sharedStrings.xml><?xml version="1.0" encoding="utf-8"?>
<sst xmlns="http://schemas.openxmlformats.org/spreadsheetml/2006/main" count="66" uniqueCount="58">
  <si>
    <t>Liq Receiver Model</t>
  </si>
  <si>
    <t>Revisions</t>
  </si>
  <si>
    <t>UM</t>
  </si>
  <si>
    <t>8 L</t>
  </si>
  <si>
    <t>dm3 (Litres)</t>
  </si>
  <si>
    <t>2x2,4 L</t>
  </si>
  <si>
    <t>kg's</t>
  </si>
  <si>
    <t>Precharged Oil</t>
  </si>
  <si>
    <t xml:space="preserve">ml </t>
  </si>
  <si>
    <t>v2.1 - Corrected cell 39C, I, O text to 3.5kg</t>
  </si>
  <si>
    <t>V2.2 - Added 1/2" to 8L</t>
  </si>
  <si>
    <t>V2.3 - Added Revision Log</t>
  </si>
  <si>
    <t>V2.3 - Added 1/2" Liquid to 2 x 2.4L</t>
  </si>
  <si>
    <t>V2.4 - SCMFrigo Customization</t>
  </si>
  <si>
    <t>V2.5 - Locked cells and tidied text</t>
  </si>
  <si>
    <t>V2.6 - Added 5/8" Suctions</t>
  </si>
  <si>
    <t>V2.7 - Added Oil charge calculation</t>
  </si>
  <si>
    <t>V2.8 - Change Oil Charge calculation and some formats</t>
  </si>
  <si>
    <t>Save it on your PC before starting to use</t>
  </si>
  <si>
    <t>Liquid Receiver model</t>
  </si>
  <si>
    <t>***Please, check always the online version to be sure you are using the most updated one***</t>
  </si>
  <si>
    <t>Use &amp; fill out ONLY the yellow cells</t>
  </si>
  <si>
    <t>Notes for using this calculator:</t>
  </si>
  <si>
    <t>Pipework</t>
  </si>
  <si>
    <t>Metres</t>
  </si>
  <si>
    <t>kg</t>
  </si>
  <si>
    <t>LIQUID LINE</t>
  </si>
  <si>
    <t>1. Select or enter only using yellow cells</t>
  </si>
  <si>
    <t>Liquid Line 3/8" (120 bar K65)</t>
  </si>
  <si>
    <r>
      <t>2. Using the drop down menu select the 8L or 2 x 2.4L receiver CUBO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Smart condensing unit</t>
    </r>
  </si>
  <si>
    <t>Liquid Line 1/2" (120 bar K65)</t>
  </si>
  <si>
    <t>3. Enter your system pipe lengths in meters ensuring you select the correct sizes and pressure rating</t>
  </si>
  <si>
    <t>Liquid Line 1/2" (80 bar K65)</t>
  </si>
  <si>
    <r>
      <t>4. Use the drop down menu to enter the evaporator charge as either kg's or of dm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/ litres - use the evaporators manufacturers information </t>
    </r>
  </si>
  <si>
    <t>Sub Total Liquid</t>
  </si>
  <si>
    <t>5. The calculator will give a total charge and acceptable limits</t>
  </si>
  <si>
    <t>SUCTION LINE</t>
  </si>
  <si>
    <t>Suction Line 3/8" (120 bar K65)</t>
  </si>
  <si>
    <t>Suction Line 1/2" (80 bar K65)</t>
  </si>
  <si>
    <t>Suction Line 1/2" (120 bar K65)</t>
  </si>
  <si>
    <t>Suction Line 5/8" (120 bar K65)</t>
  </si>
  <si>
    <t>Sub Total Suction</t>
  </si>
  <si>
    <t>STANDING CHARGE</t>
  </si>
  <si>
    <t>Receiver</t>
  </si>
  <si>
    <t>Gas Cooler</t>
  </si>
  <si>
    <t>Sub Total CUBO</t>
  </si>
  <si>
    <t>EVAPORATORS</t>
  </si>
  <si>
    <t>Evap 1</t>
  </si>
  <si>
    <t>Evap 2</t>
  </si>
  <si>
    <t>Evap 3</t>
  </si>
  <si>
    <t>Sub Total Evaps</t>
  </si>
  <si>
    <r>
      <t xml:space="preserve">Total Charge </t>
    </r>
    <r>
      <rPr>
        <b/>
        <sz val="12"/>
        <color theme="1"/>
        <rFont val="Calibri"/>
        <family val="2"/>
      </rPr>
      <t>(minimum charge is 4kg)</t>
    </r>
  </si>
  <si>
    <r>
      <t xml:space="preserve">Pumpdown from E2V    MUST BE </t>
    </r>
    <r>
      <rPr>
        <b/>
        <sz val="14"/>
        <color rgb="FFFF0000"/>
        <rFont val="Calibri"/>
        <family val="2"/>
      </rPr>
      <t>≤ 7.2kg for 8L and ≤ 3.5 for 2x2,4L</t>
    </r>
  </si>
  <si>
    <r>
      <rPr>
        <b/>
        <sz val="14"/>
        <color theme="1"/>
        <rFont val="Calibri"/>
        <family val="2"/>
      </rPr>
      <t>Pumpdown from CU Liquid Outlet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≤ 7.2kg for 8L and ≤ 3,5 for 2x2,4L - If not fit ball valves on branch lines</t>
    </r>
  </si>
  <si>
    <r>
      <t xml:space="preserve">Additional </t>
    </r>
    <r>
      <rPr>
        <b/>
        <sz val="22"/>
        <color theme="1"/>
        <rFont val="Calibri"/>
        <family val="2"/>
      </rPr>
      <t>Oil to Charge</t>
    </r>
    <r>
      <rPr>
        <b/>
        <sz val="11"/>
        <color theme="1"/>
        <rFont val="Calibri"/>
        <family val="2"/>
      </rPr>
      <t xml:space="preserve"> (PAG VG100)</t>
    </r>
  </si>
  <si>
    <t>ml</t>
  </si>
  <si>
    <t>Oil approved: RENISO PAG100, DAPHNE PZ100S</t>
  </si>
  <si>
    <r>
      <t>CUBO</t>
    </r>
    <r>
      <rPr>
        <b/>
        <vertAlign val="subscript"/>
        <sz val="18"/>
        <color rgb="FFFF0000"/>
        <rFont val="Calibri"/>
        <family val="2"/>
      </rPr>
      <t>2</t>
    </r>
    <r>
      <rPr>
        <b/>
        <sz val="18"/>
        <color rgb="FFFF0000"/>
        <rFont val="Calibri"/>
        <family val="2"/>
      </rPr>
      <t xml:space="preserve"> Smart Refrigerant Charge Calculator V 2.8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</si>
</sst>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Arial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rgb="FFFF0000"/>
      <name val="Calibri"/>
      <family val="2"/>
    </font>
    <font>
      <sz val="11"/>
      <name val="Arial"/>
      <family val="2"/>
    </font>
    <font>
      <b/>
      <sz val="22"/>
      <color rgb="FFFF0000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b/>
      <i/>
      <u/>
      <sz val="12"/>
      <color rgb="FF222A35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Arial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sz val="26"/>
      <color theme="0"/>
      <name val="Calibri"/>
      <family val="2"/>
    </font>
    <font>
      <b/>
      <sz val="18"/>
      <color theme="1"/>
      <name val="Calibri"/>
      <family val="2"/>
    </font>
    <font>
      <b/>
      <sz val="24"/>
      <color theme="1"/>
      <name val="Calibri"/>
      <family val="2"/>
    </font>
    <font>
      <b/>
      <sz val="14"/>
      <color rgb="FFFF0000"/>
      <name val="Calibri"/>
      <family val="2"/>
    </font>
    <font>
      <b/>
      <vertAlign val="subscript"/>
      <sz val="18"/>
      <color rgb="FFFF0000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2"/>
      <color theme="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44546A"/>
        <bgColor rgb="FF44546A"/>
      </patternFill>
    </fill>
    <fill>
      <patternFill patternType="solid">
        <fgColor rgb="FFB7B7B7"/>
        <bgColor rgb="FFB7B7B7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3" fillId="3" borderId="2" xfId="0" applyFont="1" applyFill="1" applyBorder="1"/>
    <xf numFmtId="0" fontId="2" fillId="2" borderId="3" xfId="0" applyFont="1" applyFill="1" applyBorder="1"/>
    <xf numFmtId="0" fontId="3" fillId="4" borderId="4" xfId="0" applyFont="1" applyFill="1" applyBorder="1"/>
    <xf numFmtId="0" fontId="3" fillId="3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3" borderId="9" xfId="0" applyFont="1" applyFill="1" applyBorder="1"/>
    <xf numFmtId="0" fontId="3" fillId="3" borderId="11" xfId="0" applyFont="1" applyFill="1" applyBorder="1"/>
    <xf numFmtId="0" fontId="4" fillId="4" borderId="12" xfId="0" applyFont="1" applyFill="1" applyBorder="1"/>
    <xf numFmtId="0" fontId="3" fillId="3" borderId="14" xfId="0" applyFont="1" applyFill="1" applyBorder="1"/>
    <xf numFmtId="0" fontId="7" fillId="0" borderId="0" xfId="0" applyFont="1"/>
    <xf numFmtId="0" fontId="2" fillId="5" borderId="19" xfId="0" applyFont="1" applyFill="1" applyBorder="1" applyAlignment="1">
      <alignment horizontal="center" vertical="center"/>
    </xf>
    <xf numFmtId="0" fontId="11" fillId="0" borderId="0" xfId="0" applyFont="1"/>
    <xf numFmtId="49" fontId="2" fillId="5" borderId="18" xfId="0" applyNumberFormat="1" applyFont="1" applyFill="1" applyBorder="1" applyAlignment="1">
      <alignment horizontal="center" wrapText="1"/>
    </xf>
    <xf numFmtId="49" fontId="2" fillId="5" borderId="19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6" xfId="0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3" fillId="0" borderId="18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3" fillId="0" borderId="20" xfId="0" applyFont="1" applyBorder="1" applyAlignment="1">
      <alignment horizontal="left" vertical="center"/>
    </xf>
    <xf numFmtId="2" fontId="14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3" fillId="0" borderId="18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" fontId="18" fillId="2" borderId="26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3" fillId="3" borderId="27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9" fillId="6" borderId="18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/>
    <xf numFmtId="0" fontId="5" fillId="5" borderId="4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5" xfId="0" applyFont="1" applyBorder="1"/>
    <xf numFmtId="0" fontId="6" fillId="0" borderId="12" xfId="0" applyFont="1" applyBorder="1"/>
    <xf numFmtId="0" fontId="8" fillId="5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10" fillId="5" borderId="16" xfId="0" applyFont="1" applyFill="1" applyBorder="1" applyAlignment="1">
      <alignment horizontal="center" vertical="center"/>
    </xf>
    <xf numFmtId="0" fontId="6" fillId="0" borderId="20" xfId="0" applyFont="1" applyBorder="1"/>
    <xf numFmtId="49" fontId="2" fillId="5" borderId="16" xfId="0" applyNumberFormat="1" applyFont="1" applyFill="1" applyBorder="1" applyAlignment="1">
      <alignment horizontal="left" wrapText="1"/>
    </xf>
    <xf numFmtId="0" fontId="2" fillId="5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8" xfId="0" applyFont="1" applyBorder="1"/>
    <xf numFmtId="0" fontId="3" fillId="0" borderId="10" xfId="0" applyFont="1" applyBorder="1" applyAlignment="1">
      <alignment horizontal="center"/>
    </xf>
  </cellXfs>
  <cellStyles count="1">
    <cellStyle name="Normale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0"/>
  <sheetViews>
    <sheetView showGridLines="0" tabSelected="1" zoomScale="70" zoomScaleNormal="70" workbookViewId="0">
      <selection activeCell="F29" sqref="F29"/>
    </sheetView>
  </sheetViews>
  <sheetFormatPr defaultColWidth="12.59765625" defaultRowHeight="15" customHeight="1" x14ac:dyDescent="0.25"/>
  <cols>
    <col min="1" max="1" width="3" customWidth="1"/>
    <col min="2" max="2" width="2.69921875" customWidth="1"/>
    <col min="3" max="3" width="31.3984375" customWidth="1"/>
    <col min="4" max="4" width="13" customWidth="1"/>
    <col min="5" max="5" width="11.69921875" customWidth="1"/>
    <col min="6" max="6" width="21.09765625" customWidth="1"/>
    <col min="7" max="7" width="2.59765625" customWidth="1"/>
    <col min="8" max="8" width="4" customWidth="1"/>
    <col min="9" max="26" width="7.59765625" customWidth="1"/>
  </cols>
  <sheetData>
    <row r="1" spans="2:12" ht="14.25" customHeight="1" x14ac:dyDescent="0.25"/>
    <row r="2" spans="2:12" ht="14.25" customHeight="1" x14ac:dyDescent="0.3">
      <c r="B2" s="3"/>
      <c r="C2" s="6"/>
      <c r="D2" s="6"/>
      <c r="E2" s="6"/>
      <c r="F2" s="6"/>
      <c r="G2" s="10"/>
    </row>
    <row r="3" spans="2:12" ht="22.5" customHeight="1" x14ac:dyDescent="0.55000000000000004">
      <c r="B3" s="11"/>
      <c r="C3" s="48" t="s">
        <v>57</v>
      </c>
      <c r="D3" s="49"/>
      <c r="E3" s="49"/>
      <c r="F3" s="50"/>
      <c r="G3" s="13"/>
      <c r="J3" s="14" t="s">
        <v>18</v>
      </c>
    </row>
    <row r="4" spans="2:12" ht="22.5" customHeight="1" x14ac:dyDescent="0.3">
      <c r="B4" s="11"/>
      <c r="C4" s="51"/>
      <c r="D4" s="52"/>
      <c r="E4" s="52"/>
      <c r="F4" s="53"/>
      <c r="G4" s="13"/>
    </row>
    <row r="5" spans="2:12" ht="22.5" customHeight="1" x14ac:dyDescent="0.55000000000000004">
      <c r="B5" s="11"/>
      <c r="C5" s="54" t="s">
        <v>19</v>
      </c>
      <c r="D5" s="55"/>
      <c r="E5" s="45" t="s">
        <v>3</v>
      </c>
      <c r="F5" s="15"/>
      <c r="G5" s="13"/>
      <c r="J5" s="14" t="s">
        <v>20</v>
      </c>
    </row>
    <row r="6" spans="2:12" ht="22.5" customHeight="1" x14ac:dyDescent="0.35">
      <c r="B6" s="11"/>
      <c r="C6" s="56" t="s">
        <v>21</v>
      </c>
      <c r="D6" s="57"/>
      <c r="E6" s="57"/>
      <c r="F6" s="55"/>
      <c r="G6" s="13"/>
      <c r="J6" s="16" t="s">
        <v>22</v>
      </c>
    </row>
    <row r="7" spans="2:12" ht="14.25" customHeight="1" x14ac:dyDescent="0.3">
      <c r="B7" s="11"/>
      <c r="C7" s="58" t="s">
        <v>23</v>
      </c>
      <c r="D7" s="55"/>
      <c r="E7" s="17" t="s">
        <v>24</v>
      </c>
      <c r="F7" s="18" t="s">
        <v>25</v>
      </c>
      <c r="G7" s="13"/>
    </row>
    <row r="8" spans="2:12" ht="14.25" customHeight="1" x14ac:dyDescent="0.3">
      <c r="B8" s="11"/>
      <c r="C8" s="59" t="s">
        <v>26</v>
      </c>
      <c r="D8" s="57"/>
      <c r="E8" s="57"/>
      <c r="F8" s="55"/>
      <c r="G8" s="13"/>
      <c r="J8" s="19" t="s">
        <v>27</v>
      </c>
      <c r="K8" s="20"/>
      <c r="L8" s="20"/>
    </row>
    <row r="9" spans="2:12" ht="14.25" customHeight="1" x14ac:dyDescent="0.3">
      <c r="B9" s="11"/>
      <c r="C9" s="60" t="s">
        <v>28</v>
      </c>
      <c r="D9" s="55"/>
      <c r="E9" s="46"/>
      <c r="F9" s="22">
        <f>E9*0.0455</f>
        <v>0</v>
      </c>
      <c r="G9" s="13"/>
      <c r="J9" s="19" t="s">
        <v>29</v>
      </c>
      <c r="K9" s="20"/>
      <c r="L9" s="20"/>
    </row>
    <row r="10" spans="2:12" ht="14.25" customHeight="1" x14ac:dyDescent="0.3">
      <c r="B10" s="11"/>
      <c r="C10" s="60" t="s">
        <v>30</v>
      </c>
      <c r="D10" s="55"/>
      <c r="E10" s="46"/>
      <c r="F10" s="22">
        <f>E10*0.0814</f>
        <v>0</v>
      </c>
      <c r="G10" s="13"/>
      <c r="J10" s="19" t="s">
        <v>31</v>
      </c>
      <c r="K10" s="20"/>
      <c r="L10" s="20"/>
    </row>
    <row r="11" spans="2:12" ht="14.25" customHeight="1" x14ac:dyDescent="0.3">
      <c r="B11" s="11"/>
      <c r="C11" s="60" t="s">
        <v>32</v>
      </c>
      <c r="D11" s="55"/>
      <c r="E11" s="46"/>
      <c r="F11" s="22">
        <f>E11*0.089</f>
        <v>0</v>
      </c>
      <c r="G11" s="13"/>
      <c r="J11" s="23" t="s">
        <v>33</v>
      </c>
      <c r="K11" s="20"/>
      <c r="L11" s="20"/>
    </row>
    <row r="12" spans="2:12" ht="14.25" customHeight="1" x14ac:dyDescent="0.3">
      <c r="B12" s="11"/>
      <c r="C12" s="61" t="s">
        <v>34</v>
      </c>
      <c r="D12" s="57"/>
      <c r="E12" s="55"/>
      <c r="F12" s="24">
        <f>SUM(F9:F11)</f>
        <v>0</v>
      </c>
      <c r="G12" s="13"/>
      <c r="J12" s="19" t="s">
        <v>35</v>
      </c>
    </row>
    <row r="13" spans="2:12" ht="14.25" customHeight="1" x14ac:dyDescent="0.3">
      <c r="B13" s="11"/>
      <c r="C13" s="62"/>
      <c r="D13" s="57"/>
      <c r="E13" s="57"/>
      <c r="F13" s="55"/>
      <c r="G13" s="13"/>
    </row>
    <row r="14" spans="2:12" ht="14.25" customHeight="1" x14ac:dyDescent="0.3">
      <c r="B14" s="11"/>
      <c r="C14" s="59" t="s">
        <v>36</v>
      </c>
      <c r="D14" s="57"/>
      <c r="E14" s="57"/>
      <c r="F14" s="55"/>
      <c r="G14" s="13"/>
    </row>
    <row r="15" spans="2:12" ht="14.25" customHeight="1" x14ac:dyDescent="0.3">
      <c r="B15" s="11"/>
      <c r="C15" s="60" t="s">
        <v>37</v>
      </c>
      <c r="D15" s="55"/>
      <c r="E15" s="46"/>
      <c r="F15" s="22">
        <f>E15*0.0037</f>
        <v>0</v>
      </c>
      <c r="G15" s="13"/>
    </row>
    <row r="16" spans="2:12" ht="14.25" customHeight="1" x14ac:dyDescent="0.3">
      <c r="B16" s="11"/>
      <c r="C16" s="60" t="s">
        <v>38</v>
      </c>
      <c r="D16" s="55"/>
      <c r="E16" s="46"/>
      <c r="F16" s="22">
        <f>E16*0.0073</f>
        <v>0</v>
      </c>
      <c r="G16" s="13"/>
    </row>
    <row r="17" spans="2:10" ht="14.25" customHeight="1" x14ac:dyDescent="0.3">
      <c r="B17" s="11"/>
      <c r="C17" s="60" t="s">
        <v>39</v>
      </c>
      <c r="D17" s="57"/>
      <c r="E17" s="46"/>
      <c r="F17" s="22">
        <f>E17*0.0066</f>
        <v>0</v>
      </c>
      <c r="G17" s="13"/>
      <c r="H17" s="25"/>
    </row>
    <row r="18" spans="2:10" ht="14.25" customHeight="1" x14ac:dyDescent="0.3">
      <c r="B18" s="11"/>
      <c r="C18" s="21" t="s">
        <v>38</v>
      </c>
      <c r="D18" s="26"/>
      <c r="E18" s="46"/>
      <c r="F18" s="22">
        <f>E18*0.0114</f>
        <v>0</v>
      </c>
      <c r="G18" s="13"/>
      <c r="H18" s="25"/>
    </row>
    <row r="19" spans="2:10" ht="14.25" customHeight="1" x14ac:dyDescent="0.3">
      <c r="B19" s="11"/>
      <c r="C19" s="21" t="s">
        <v>40</v>
      </c>
      <c r="D19" s="26"/>
      <c r="E19" s="46"/>
      <c r="F19" s="22">
        <f>E19*0.0104</f>
        <v>0</v>
      </c>
      <c r="G19" s="13"/>
      <c r="H19" s="25"/>
    </row>
    <row r="20" spans="2:10" ht="14.25" customHeight="1" x14ac:dyDescent="0.3">
      <c r="B20" s="11"/>
      <c r="C20" s="61" t="s">
        <v>41</v>
      </c>
      <c r="D20" s="57"/>
      <c r="E20" s="55"/>
      <c r="F20" s="24">
        <f>F17+F16+F15+F18+F19</f>
        <v>0</v>
      </c>
      <c r="G20" s="13"/>
    </row>
    <row r="21" spans="2:10" ht="14.25" customHeight="1" x14ac:dyDescent="0.3">
      <c r="B21" s="11"/>
      <c r="C21" s="62"/>
      <c r="D21" s="57"/>
      <c r="E21" s="57"/>
      <c r="F21" s="55"/>
      <c r="G21" s="13"/>
    </row>
    <row r="22" spans="2:10" ht="14.25" customHeight="1" x14ac:dyDescent="0.3">
      <c r="B22" s="11"/>
      <c r="C22" s="59" t="s">
        <v>42</v>
      </c>
      <c r="D22" s="57"/>
      <c r="E22" s="57"/>
      <c r="F22" s="55"/>
      <c r="G22" s="13"/>
    </row>
    <row r="23" spans="2:10" ht="14.25" customHeight="1" x14ac:dyDescent="0.3">
      <c r="B23" s="11"/>
      <c r="C23" s="60" t="s">
        <v>43</v>
      </c>
      <c r="D23" s="57"/>
      <c r="E23" s="55"/>
      <c r="F23" s="22">
        <f>IF(E5="8 L",2.4,1.2)</f>
        <v>2.4</v>
      </c>
      <c r="G23" s="13"/>
    </row>
    <row r="24" spans="2:10" ht="14.25" customHeight="1" x14ac:dyDescent="0.3">
      <c r="B24" s="11"/>
      <c r="C24" s="60" t="s">
        <v>44</v>
      </c>
      <c r="D24" s="57"/>
      <c r="E24" s="55"/>
      <c r="F24" s="27">
        <v>1.3</v>
      </c>
      <c r="G24" s="13"/>
    </row>
    <row r="25" spans="2:10" ht="14.25" customHeight="1" x14ac:dyDescent="0.3">
      <c r="B25" s="11"/>
      <c r="C25" s="61" t="s">
        <v>45</v>
      </c>
      <c r="D25" s="57"/>
      <c r="E25" s="55"/>
      <c r="F25" s="24">
        <f>F24+F23</f>
        <v>3.7</v>
      </c>
      <c r="G25" s="13"/>
    </row>
    <row r="26" spans="2:10" ht="14.25" customHeight="1" x14ac:dyDescent="0.3">
      <c r="B26" s="11"/>
      <c r="C26" s="62"/>
      <c r="D26" s="57"/>
      <c r="E26" s="57"/>
      <c r="F26" s="55"/>
      <c r="G26" s="13"/>
    </row>
    <row r="27" spans="2:10" ht="14.25" customHeight="1" x14ac:dyDescent="0.3">
      <c r="B27" s="11"/>
      <c r="C27" s="59" t="s">
        <v>46</v>
      </c>
      <c r="D27" s="57"/>
      <c r="E27" s="57"/>
      <c r="F27" s="55"/>
      <c r="G27" s="13"/>
    </row>
    <row r="28" spans="2:10" ht="14.25" customHeight="1" x14ac:dyDescent="0.3">
      <c r="B28" s="11"/>
      <c r="C28" s="28" t="s">
        <v>47</v>
      </c>
      <c r="D28" s="45" t="s">
        <v>6</v>
      </c>
      <c r="E28" s="46"/>
      <c r="F28" s="29">
        <f t="shared" ref="F28:F30" si="0">(IF(D28="dm3 (Litres)",((E28*1000)*44%/(1.013*1000)),E28))*1</f>
        <v>0</v>
      </c>
      <c r="G28" s="13"/>
      <c r="J28" s="20"/>
    </row>
    <row r="29" spans="2:10" ht="14.25" customHeight="1" x14ac:dyDescent="0.3">
      <c r="B29" s="11"/>
      <c r="C29" s="28" t="s">
        <v>48</v>
      </c>
      <c r="D29" s="45" t="s">
        <v>6</v>
      </c>
      <c r="E29" s="46"/>
      <c r="F29" s="29">
        <f t="shared" si="0"/>
        <v>0</v>
      </c>
      <c r="G29" s="13"/>
    </row>
    <row r="30" spans="2:10" ht="14.25" customHeight="1" x14ac:dyDescent="0.3">
      <c r="B30" s="11"/>
      <c r="C30" s="28" t="s">
        <v>49</v>
      </c>
      <c r="D30" s="45" t="s">
        <v>6</v>
      </c>
      <c r="E30" s="46"/>
      <c r="F30" s="29">
        <f t="shared" si="0"/>
        <v>0</v>
      </c>
      <c r="G30" s="13"/>
    </row>
    <row r="31" spans="2:10" ht="14.25" customHeight="1" x14ac:dyDescent="0.3">
      <c r="B31" s="11"/>
      <c r="C31" s="61" t="s">
        <v>50</v>
      </c>
      <c r="D31" s="57"/>
      <c r="E31" s="55"/>
      <c r="F31" s="30">
        <f>SUM(F28:F30)</f>
        <v>0</v>
      </c>
      <c r="G31" s="13"/>
    </row>
    <row r="32" spans="2:10" ht="14.25" customHeight="1" x14ac:dyDescent="0.3">
      <c r="B32" s="11"/>
      <c r="C32" s="63"/>
      <c r="D32" s="49"/>
      <c r="E32" s="49"/>
      <c r="F32" s="50"/>
      <c r="G32" s="13"/>
    </row>
    <row r="33" spans="2:7" ht="14.25" customHeight="1" x14ac:dyDescent="0.3">
      <c r="B33" s="11"/>
      <c r="C33" s="64"/>
      <c r="D33" s="65"/>
      <c r="E33" s="65"/>
      <c r="F33" s="66"/>
      <c r="G33" s="13"/>
    </row>
    <row r="34" spans="2:7" ht="51" customHeight="1" x14ac:dyDescent="0.3">
      <c r="B34" s="11"/>
      <c r="C34" s="31" t="s">
        <v>51</v>
      </c>
      <c r="D34" s="32" t="s">
        <v>25</v>
      </c>
      <c r="E34" s="32">
        <f>F31+F25+F20+F12</f>
        <v>3.7</v>
      </c>
      <c r="F34" s="33" t="str">
        <f>IF($E$5="8 L",(IF(E36&gt;7.2,"!","ok")),(IF(E36&gt;3.5,"!","ok")))</f>
        <v>ok</v>
      </c>
      <c r="G34" s="13"/>
    </row>
    <row r="35" spans="2:7" ht="14.25" customHeight="1" x14ac:dyDescent="0.3">
      <c r="B35" s="11"/>
      <c r="C35" s="67"/>
      <c r="D35" s="68"/>
      <c r="E35" s="68"/>
      <c r="F35" s="69"/>
      <c r="G35" s="13"/>
    </row>
    <row r="36" spans="2:7" ht="66.75" customHeight="1" x14ac:dyDescent="0.3">
      <c r="B36" s="11"/>
      <c r="C36" s="34" t="s">
        <v>52</v>
      </c>
      <c r="D36" s="32" t="s">
        <v>25</v>
      </c>
      <c r="E36" s="32">
        <f>F31+F23+F20</f>
        <v>2.4</v>
      </c>
      <c r="F36" s="35" t="str">
        <f>IF($E$5="8 L",(IF(E36&gt;7.2,"Not Allowed! Must be ≤ 7.2kg","ok")),(IF(E36&gt;3.5,"Not Allowed! Must be ≤ 3.5kg","ok")))</f>
        <v>ok</v>
      </c>
      <c r="G36" s="13"/>
    </row>
    <row r="37" spans="2:7" ht="66.75" customHeight="1" x14ac:dyDescent="0.3">
      <c r="B37" s="11"/>
      <c r="C37" s="36" t="s">
        <v>53</v>
      </c>
      <c r="D37" s="32" t="s">
        <v>25</v>
      </c>
      <c r="E37" s="32">
        <f>F31+F23+F20+F12</f>
        <v>2.4</v>
      </c>
      <c r="F37" s="35" t="str">
        <f>IF($E$5="8 L",(IF(E37&gt;7.2,"Fit ball valves on branch lines","ok")),(IF(E37&gt;3.5,"Fit ball valves on branch lines","ok")))</f>
        <v>ok</v>
      </c>
      <c r="G37" s="13"/>
    </row>
    <row r="38" spans="2:7" ht="21" customHeight="1" x14ac:dyDescent="0.3">
      <c r="B38" s="11"/>
      <c r="C38" s="37"/>
      <c r="D38" s="38"/>
      <c r="E38" s="38"/>
      <c r="F38" s="39"/>
      <c r="G38" s="13"/>
    </row>
    <row r="39" spans="2:7" ht="66.75" customHeight="1" x14ac:dyDescent="0.3">
      <c r="B39" s="11"/>
      <c r="C39" s="36" t="s">
        <v>54</v>
      </c>
      <c r="D39" s="32" t="s">
        <v>55</v>
      </c>
      <c r="E39" s="40">
        <f>IF(E34&lt;4,(4*125)-Reserved!D6,(E34*125)-Reserved!D6)</f>
        <v>250</v>
      </c>
      <c r="F39" s="41" t="s">
        <v>56</v>
      </c>
      <c r="G39" s="13"/>
    </row>
    <row r="40" spans="2:7" ht="14.25" customHeight="1" x14ac:dyDescent="0.3">
      <c r="B40" s="11"/>
      <c r="C40" s="70"/>
      <c r="D40" s="52"/>
      <c r="E40" s="52"/>
      <c r="F40" s="53"/>
      <c r="G40" s="13"/>
    </row>
    <row r="41" spans="2:7" ht="14.25" customHeight="1" x14ac:dyDescent="0.3">
      <c r="B41" s="42"/>
      <c r="C41" s="43"/>
      <c r="D41" s="43"/>
      <c r="E41" s="43"/>
      <c r="F41" s="43"/>
      <c r="G41" s="44"/>
    </row>
    <row r="42" spans="2:7" ht="14.25" customHeight="1" x14ac:dyDescent="0.25"/>
    <row r="43" spans="2:7" ht="14.25" customHeight="1" x14ac:dyDescent="0.25"/>
    <row r="44" spans="2:7" ht="14.25" customHeight="1" x14ac:dyDescent="0.25"/>
    <row r="45" spans="2:7" ht="14.25" customHeight="1" x14ac:dyDescent="0.25"/>
    <row r="46" spans="2:7" ht="14.25" customHeight="1" x14ac:dyDescent="0.25"/>
    <row r="47" spans="2:7" ht="14.25" customHeight="1" x14ac:dyDescent="0.25"/>
    <row r="48" spans="2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/Muy1LACIDvobhiIpKeMbVU1FM6OIgvI0Rr9D0LLT6pb4RKvDQP4LcJxbkntQvt6qFf+ndwwlTOY4aPBJhvoaA==" saltValue="Ue8Nt/6yZZy6wwkfy5OuvA==" spinCount="100000" sheet="1" objects="1" scenarios="1"/>
  <mergeCells count="26">
    <mergeCell ref="C31:E31"/>
    <mergeCell ref="C32:F33"/>
    <mergeCell ref="C35:F35"/>
    <mergeCell ref="C40:F40"/>
    <mergeCell ref="C20:E20"/>
    <mergeCell ref="C21:F21"/>
    <mergeCell ref="C22:F22"/>
    <mergeCell ref="C23:E23"/>
    <mergeCell ref="C24:E24"/>
    <mergeCell ref="C25:E25"/>
    <mergeCell ref="C26:F26"/>
    <mergeCell ref="C14:F14"/>
    <mergeCell ref="C15:D15"/>
    <mergeCell ref="C16:D16"/>
    <mergeCell ref="C17:D17"/>
    <mergeCell ref="C27:F27"/>
    <mergeCell ref="C9:D9"/>
    <mergeCell ref="C10:D10"/>
    <mergeCell ref="C11:D11"/>
    <mergeCell ref="C12:E12"/>
    <mergeCell ref="C13:F13"/>
    <mergeCell ref="C3:F4"/>
    <mergeCell ref="C5:D5"/>
    <mergeCell ref="C6:F6"/>
    <mergeCell ref="C7:D7"/>
    <mergeCell ref="C8:F8"/>
  </mergeCells>
  <conditionalFormatting sqref="F36">
    <cfRule type="containsText" dxfId="7" priority="1" operator="containsText" text="Not allowed">
      <formula>NOT(ISERROR(SEARCH(("Not allowed"),(F36))))</formula>
    </cfRule>
  </conditionalFormatting>
  <conditionalFormatting sqref="F36">
    <cfRule type="containsText" dxfId="6" priority="2" operator="containsText" text="ok">
      <formula>NOT(ISERROR(SEARCH(("ok"),(F36))))</formula>
    </cfRule>
  </conditionalFormatting>
  <conditionalFormatting sqref="F37:F38">
    <cfRule type="containsText" dxfId="5" priority="3" operator="containsText" text="Fit ball">
      <formula>NOT(ISERROR(SEARCH(("Fit ball"),(F37))))</formula>
    </cfRule>
  </conditionalFormatting>
  <conditionalFormatting sqref="F37:F38">
    <cfRule type="containsText" dxfId="4" priority="4" operator="containsText" text="ok">
      <formula>NOT(ISERROR(SEARCH(("ok"),(F37))))</formula>
    </cfRule>
  </conditionalFormatting>
  <conditionalFormatting sqref="F39">
    <cfRule type="containsText" dxfId="3" priority="5" operator="containsText" text="Fit ball">
      <formula>NOT(ISERROR(SEARCH(("Fit ball"),(F39))))</formula>
    </cfRule>
  </conditionalFormatting>
  <conditionalFormatting sqref="F39">
    <cfRule type="containsText" dxfId="2" priority="6" operator="containsText" text="ok">
      <formula>NOT(ISERROR(SEARCH(("ok"),(F39))))</formula>
    </cfRule>
  </conditionalFormatting>
  <conditionalFormatting sqref="F34">
    <cfRule type="containsText" dxfId="1" priority="7" operator="containsText" text="ok">
      <formula>NOT(ISERROR(SEARCH(("ok"),(F34))))</formula>
    </cfRule>
  </conditionalFormatting>
  <conditionalFormatting sqref="F34">
    <cfRule type="containsText" dxfId="0" priority="8" operator="containsText" text="!">
      <formula>NOT(ISERROR(SEARCH(("!"),(F34))))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Reserved!$C$4:$C$5</xm:f>
          </x14:formula1>
          <xm:sqref>D28:D30</xm:sqref>
        </x14:dataValidation>
        <x14:dataValidation type="list" allowBlank="1" showErrorMessage="1">
          <x14:formula1>
            <xm:f>Reserved!$B$4:$B$5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showGridLines="0" workbookViewId="0">
      <selection activeCell="B11" sqref="B11"/>
    </sheetView>
  </sheetViews>
  <sheetFormatPr defaultColWidth="12.59765625" defaultRowHeight="15" customHeight="1" x14ac:dyDescent="0.25"/>
  <cols>
    <col min="1" max="1" width="2.59765625" customWidth="1"/>
    <col min="2" max="2" width="33.5" customWidth="1"/>
    <col min="3" max="3" width="12.8984375" customWidth="1"/>
    <col min="4" max="26" width="7.59765625" customWidth="1"/>
  </cols>
  <sheetData>
    <row r="1" spans="2:3" ht="14.25" customHeight="1" x14ac:dyDescent="0.25"/>
    <row r="2" spans="2:3" ht="14.25" customHeight="1" x14ac:dyDescent="0.3">
      <c r="B2" s="2" t="s">
        <v>1</v>
      </c>
      <c r="C2" s="4"/>
    </row>
    <row r="3" spans="2:3" ht="14.25" customHeight="1" x14ac:dyDescent="0.3">
      <c r="B3" s="5" t="s">
        <v>9</v>
      </c>
      <c r="C3" s="7"/>
    </row>
    <row r="4" spans="2:3" ht="14.25" customHeight="1" x14ac:dyDescent="0.3">
      <c r="B4" s="8" t="s">
        <v>10</v>
      </c>
      <c r="C4" s="9"/>
    </row>
    <row r="5" spans="2:3" ht="14.25" customHeight="1" x14ac:dyDescent="0.3">
      <c r="B5" s="8" t="s">
        <v>11</v>
      </c>
      <c r="C5" s="9"/>
    </row>
    <row r="6" spans="2:3" ht="14.25" customHeight="1" x14ac:dyDescent="0.3">
      <c r="B6" s="8" t="s">
        <v>12</v>
      </c>
      <c r="C6" s="9"/>
    </row>
    <row r="7" spans="2:3" ht="14.25" customHeight="1" x14ac:dyDescent="0.3">
      <c r="B7" s="8" t="s">
        <v>13</v>
      </c>
      <c r="C7" s="9"/>
    </row>
    <row r="8" spans="2:3" ht="14.25" customHeight="1" x14ac:dyDescent="0.3">
      <c r="B8" s="8" t="s">
        <v>14</v>
      </c>
      <c r="C8" s="9"/>
    </row>
    <row r="9" spans="2:3" ht="14.25" customHeight="1" x14ac:dyDescent="0.3">
      <c r="B9" s="8" t="s">
        <v>15</v>
      </c>
      <c r="C9" s="9"/>
    </row>
    <row r="10" spans="2:3" ht="14.25" customHeight="1" x14ac:dyDescent="0.3">
      <c r="B10" s="8" t="s">
        <v>16</v>
      </c>
      <c r="C10" s="9"/>
    </row>
    <row r="11" spans="2:3" ht="14.25" customHeight="1" x14ac:dyDescent="0.3">
      <c r="B11" s="47" t="s">
        <v>17</v>
      </c>
      <c r="C11" s="12"/>
    </row>
    <row r="12" spans="2:3" ht="14.25" customHeight="1" x14ac:dyDescent="0.25"/>
    <row r="13" spans="2:3" ht="14.25" customHeight="1" x14ac:dyDescent="0.25"/>
    <row r="14" spans="2:3" ht="14.25" customHeight="1" x14ac:dyDescent="0.25"/>
    <row r="15" spans="2:3" ht="14.25" customHeight="1" x14ac:dyDescent="0.25"/>
    <row r="16" spans="2:3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4TUHfj6lWG7CkedmEV6SONwP11tWuMc3y5XsbHAcZPBxfk4TdA0gFPuujckse9iOqFmQsbfpXVG4C9tWuiVUZw==" saltValue="1j3BoSKhxWA9QAVrmwMucw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showGridLines="0" workbookViewId="0">
      <selection activeCell="B3" sqref="B3"/>
    </sheetView>
  </sheetViews>
  <sheetFormatPr defaultColWidth="12.59765625" defaultRowHeight="15" customHeight="1" x14ac:dyDescent="0.25"/>
  <cols>
    <col min="1" max="1" width="7.59765625" customWidth="1"/>
    <col min="2" max="2" width="19.5" customWidth="1"/>
    <col min="3" max="3" width="13.5" customWidth="1"/>
    <col min="4" max="26" width="7.59765625" customWidth="1"/>
  </cols>
  <sheetData>
    <row r="1" spans="2:4" ht="14.25" customHeight="1" x14ac:dyDescent="0.25"/>
    <row r="2" spans="2:4" ht="14.25" customHeight="1" x14ac:dyDescent="0.25"/>
    <row r="3" spans="2:4" ht="14.25" customHeight="1" x14ac:dyDescent="0.35">
      <c r="B3" s="1" t="s">
        <v>0</v>
      </c>
      <c r="C3" s="1" t="s">
        <v>2</v>
      </c>
    </row>
    <row r="4" spans="2:4" ht="14.25" customHeight="1" x14ac:dyDescent="0.35">
      <c r="B4" s="1" t="s">
        <v>3</v>
      </c>
      <c r="C4" s="1" t="s">
        <v>4</v>
      </c>
    </row>
    <row r="5" spans="2:4" ht="14.25" customHeight="1" x14ac:dyDescent="0.35">
      <c r="B5" s="1" t="s">
        <v>5</v>
      </c>
      <c r="C5" s="1" t="s">
        <v>6</v>
      </c>
    </row>
    <row r="6" spans="2:4" ht="14.25" customHeight="1" x14ac:dyDescent="0.35">
      <c r="B6" s="1" t="s">
        <v>7</v>
      </c>
      <c r="C6" s="1" t="s">
        <v>8</v>
      </c>
      <c r="D6" s="1">
        <v>250</v>
      </c>
    </row>
    <row r="7" spans="2:4" ht="14.25" customHeight="1" x14ac:dyDescent="0.25"/>
    <row r="8" spans="2:4" ht="14.25" customHeight="1" x14ac:dyDescent="0.25"/>
    <row r="9" spans="2:4" ht="14.25" customHeight="1" x14ac:dyDescent="0.25"/>
    <row r="10" spans="2:4" ht="14.25" customHeight="1" x14ac:dyDescent="0.25"/>
    <row r="11" spans="2:4" ht="14.25" customHeight="1" x14ac:dyDescent="0.25"/>
    <row r="12" spans="2:4" ht="14.25" customHeight="1" x14ac:dyDescent="0.25"/>
    <row r="13" spans="2:4" ht="14.25" customHeight="1" x14ac:dyDescent="0.25"/>
    <row r="14" spans="2:4" ht="14.25" customHeight="1" x14ac:dyDescent="0.25"/>
    <row r="15" spans="2:4" ht="14.25" customHeight="1" x14ac:dyDescent="0.25"/>
    <row r="16" spans="2: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/QO0YjZ5TI/LSxl9aIxcoSaqS0bOS1u0WdB4NhoCStg/usaM/h7VVdX+swX5zthxAzRywLMwxB4Huq31iMwqZw==" saltValue="IYn061R5YubNm9qexR+o7Q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Calculator</vt:lpstr>
      <vt:lpstr>Revision Log</vt:lpstr>
      <vt:lpstr>Reserved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Cristian Corato</cp:lastModifiedBy>
  <dcterms:modified xsi:type="dcterms:W3CDTF">2020-05-28T08:27:52Z</dcterms:modified>
</cp:coreProperties>
</file>