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steph\Dropbox (Cool Concerns Ltd)\60 - CUBO2 Smart\1 Charge Calculator 2020\"/>
    </mc:Choice>
  </mc:AlternateContent>
  <xr:revisionPtr revIDLastSave="0" documentId="13_ncr:1_{FB0DD6AE-6092-4394-9084-B68E215DF22D}" xr6:coauthVersionLast="45" xr6:coauthVersionMax="45" xr10:uidLastSave="{00000000-0000-0000-0000-000000000000}"/>
  <bookViews>
    <workbookView xWindow="-4050" yWindow="-16320" windowWidth="29040" windowHeight="15840" xr2:uid="{00000000-000D-0000-FFFF-FFFF00000000}"/>
  </bookViews>
  <sheets>
    <sheet name="Calculator" sheetId="2" r:id="rId1"/>
    <sheet name="Revision Log" sheetId="1" state="hidden" r:id="rId2"/>
    <sheet name="Reserved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2" l="1"/>
  <c r="F30" i="2"/>
  <c r="F20" i="1" l="1"/>
  <c r="H20" i="1"/>
  <c r="G20" i="1"/>
  <c r="F28" i="2"/>
  <c r="F24" i="2" l="1"/>
  <c r="F23" i="2" l="1"/>
  <c r="F25" i="2" s="1"/>
  <c r="F19" i="2"/>
  <c r="F18" i="2"/>
  <c r="F17" i="2"/>
  <c r="F16" i="2"/>
  <c r="F15" i="2"/>
  <c r="F11" i="2"/>
  <c r="F10" i="2"/>
  <c r="F9" i="2"/>
  <c r="F20" i="2" l="1"/>
  <c r="F12" i="2"/>
  <c r="F31" i="2"/>
  <c r="E37" i="2" l="1"/>
  <c r="F37" i="2" s="1"/>
  <c r="E34" i="2"/>
  <c r="E39" i="2" s="1"/>
  <c r="E36" i="2"/>
  <c r="F34" i="2" s="1"/>
  <c r="F36" i="2" l="1"/>
</calcChain>
</file>

<file path=xl/sharedStrings.xml><?xml version="1.0" encoding="utf-8"?>
<sst xmlns="http://schemas.openxmlformats.org/spreadsheetml/2006/main" count="83" uniqueCount="73">
  <si>
    <t>Liq Receiver Model</t>
  </si>
  <si>
    <t>Revisions</t>
  </si>
  <si>
    <t>UM</t>
  </si>
  <si>
    <t>8 L</t>
  </si>
  <si>
    <t>dm3 (Litres)</t>
  </si>
  <si>
    <t>2x2,4 L</t>
  </si>
  <si>
    <t>kg's</t>
  </si>
  <si>
    <t>Precharged Oil</t>
  </si>
  <si>
    <t xml:space="preserve">ml </t>
  </si>
  <si>
    <t>v2.1 - Corrected cell 39C, I, O text to 3.5kg</t>
  </si>
  <si>
    <t>V2.2 - Added 1/2" to 8L</t>
  </si>
  <si>
    <t>V2.3 - Added Revision Log</t>
  </si>
  <si>
    <t>V2.3 - Added 1/2" Liquid to 2 x 2.4L</t>
  </si>
  <si>
    <t>V2.4 - SCMFrigo Customization</t>
  </si>
  <si>
    <t>V2.5 - Locked cells and tidied text</t>
  </si>
  <si>
    <t>V2.6 - Added 5/8" Suctions</t>
  </si>
  <si>
    <t>V2.7 - Added Oil charge calculation</t>
  </si>
  <si>
    <t>V2.8 - Change Oil Charge calculation and some formats</t>
  </si>
  <si>
    <t>Save it on your PC before starting to use</t>
  </si>
  <si>
    <t>Liquid Receiver model</t>
  </si>
  <si>
    <t>***Please, check always the online version to be sure you are using the most updated one***</t>
  </si>
  <si>
    <t>Use &amp; fill out ONLY the yellow cells</t>
  </si>
  <si>
    <t>Notes for using this calculator:</t>
  </si>
  <si>
    <t>Pipework</t>
  </si>
  <si>
    <t>Metres</t>
  </si>
  <si>
    <t>kg</t>
  </si>
  <si>
    <t>LIQUID LINE</t>
  </si>
  <si>
    <t>1. Select or enter only using yellow cells</t>
  </si>
  <si>
    <t>Liquid Line 3/8" (120 bar K65)</t>
  </si>
  <si>
    <t>Liquid Line 1/2" (120 bar K65)</t>
  </si>
  <si>
    <t>3. Enter your system pipe lengths in meters ensuring you select the correct sizes and pressure rating</t>
  </si>
  <si>
    <t>Liquid Line 1/2" (80 bar K65)</t>
  </si>
  <si>
    <t>Sub Total Liquid</t>
  </si>
  <si>
    <t>5. The calculator will give a total charge and acceptable limits</t>
  </si>
  <si>
    <t>SUCTION LINE</t>
  </si>
  <si>
    <t>Suction Line 3/8" (120 bar K65)</t>
  </si>
  <si>
    <t>Suction Line 1/2" (80 bar K65)</t>
  </si>
  <si>
    <t>Suction Line 1/2" (120 bar K65)</t>
  </si>
  <si>
    <t>Suction Line 5/8" (120 bar K65)</t>
  </si>
  <si>
    <t>Sub Total Suction</t>
  </si>
  <si>
    <t>STANDING CHARGE</t>
  </si>
  <si>
    <t>Receiver</t>
  </si>
  <si>
    <t>Sub Total CUBO</t>
  </si>
  <si>
    <t>EVAPORATORS</t>
  </si>
  <si>
    <t>Evap 1</t>
  </si>
  <si>
    <t>Evap 2</t>
  </si>
  <si>
    <t>Evap 3</t>
  </si>
  <si>
    <t>Sub Total Evaps</t>
  </si>
  <si>
    <r>
      <t xml:space="preserve">Total Charge </t>
    </r>
    <r>
      <rPr>
        <b/>
        <sz val="12"/>
        <color theme="1"/>
        <rFont val="Calibri"/>
        <family val="2"/>
      </rPr>
      <t>(minimum charge is 4kg)</t>
    </r>
  </si>
  <si>
    <r>
      <t xml:space="preserve">Pumpdown from E2V    MUST BE </t>
    </r>
    <r>
      <rPr>
        <b/>
        <sz val="14"/>
        <color rgb="FFFF0000"/>
        <rFont val="Calibri"/>
        <family val="2"/>
      </rPr>
      <t>≤ 7.2kg for 8L and ≤ 3.5 for 2x2,4L</t>
    </r>
  </si>
  <si>
    <r>
      <rPr>
        <b/>
        <sz val="14"/>
        <color theme="1"/>
        <rFont val="Calibri"/>
        <family val="2"/>
      </rPr>
      <t>Pumpdown from CU Liquid Outlet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≤ 7.2kg for 8L and ≤ 3,5 for 2x2,4L - If not fit ball valves on branch lines</t>
    </r>
  </si>
  <si>
    <r>
      <t xml:space="preserve">Additional </t>
    </r>
    <r>
      <rPr>
        <b/>
        <sz val="22"/>
        <color theme="1"/>
        <rFont val="Calibri"/>
        <family val="2"/>
      </rPr>
      <t>Oil to Charge</t>
    </r>
    <r>
      <rPr>
        <b/>
        <sz val="11"/>
        <color theme="1"/>
        <rFont val="Calibri"/>
        <family val="2"/>
      </rPr>
      <t xml:space="preserve"> (PAG VG100)</t>
    </r>
  </si>
  <si>
    <t>ml</t>
  </si>
  <si>
    <t>Oil approved: RENISO PAG100, DAPHNE PZ100S</t>
  </si>
  <si>
    <t>Suction Line 5/8" (80 bar K65)</t>
  </si>
  <si>
    <t>V2.9 - Changed Total Charge ! To Stop! Charge Exceeded</t>
  </si>
  <si>
    <t>Gas Cooler/ PHE</t>
  </si>
  <si>
    <t>Cubo2 Smart</t>
  </si>
  <si>
    <t>Cubo2 AQUA</t>
  </si>
  <si>
    <t>UNIT MODEL</t>
  </si>
  <si>
    <t xml:space="preserve">Gas cooler 75m approx. (assume 25% liquid) 1300 </t>
  </si>
  <si>
    <t>0,85 dm3 (Assume 25% liquid: 0,21kg)</t>
  </si>
  <si>
    <t>Hold-up Inner Volume PHE (AQUA):</t>
  </si>
  <si>
    <t xml:space="preserve">V3.0 - Added the option for Cubo2 AQUA charge calculator </t>
  </si>
  <si>
    <r>
      <t>2. Using the drop down menu select the 8L or 2 x 2.4L receiver CUBO</t>
    </r>
    <r>
      <rPr>
        <vertAlign val="sub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Smart condensing unit</t>
    </r>
  </si>
  <si>
    <r>
      <t>4. Use the drop down menu to enter the evaporator charge as either kg's or of dm</t>
    </r>
    <r>
      <rPr>
        <vertAlign val="superscript"/>
        <sz val="10"/>
        <color theme="1"/>
        <rFont val="Calibri"/>
        <family val="2"/>
      </rPr>
      <t>3</t>
    </r>
    <r>
      <rPr>
        <sz val="10"/>
        <color theme="1"/>
        <rFont val="Calibri"/>
        <family val="2"/>
      </rPr>
      <t xml:space="preserve"> / litres - use the evaporators manufacturers information </t>
    </r>
  </si>
  <si>
    <t>Evap Outlet</t>
  </si>
  <si>
    <t>Average Density</t>
  </si>
  <si>
    <t>Exp Outlet</t>
  </si>
  <si>
    <r>
      <t>kg/m</t>
    </r>
    <r>
      <rPr>
        <vertAlign val="superscript"/>
        <sz val="11"/>
        <color theme="1"/>
        <rFont val="Arial"/>
        <family val="2"/>
      </rPr>
      <t>3</t>
    </r>
  </si>
  <si>
    <t>Source: Danfoss Coolselector2</t>
  </si>
  <si>
    <t>V4.0 - Changed evap refrigerant density, averaged exp outlet and evap outlet -5DegC data used</t>
  </si>
  <si>
    <r>
      <t>CUBO</t>
    </r>
    <r>
      <rPr>
        <b/>
        <vertAlign val="subscript"/>
        <sz val="18"/>
        <color rgb="FFFF0000"/>
        <rFont val="Calibri"/>
        <family val="2"/>
      </rPr>
      <t>2</t>
    </r>
    <r>
      <rPr>
        <b/>
        <sz val="18"/>
        <color rgb="FFFF0000"/>
        <rFont val="Calibri"/>
        <family val="2"/>
      </rPr>
      <t xml:space="preserve"> Smart/AQUA Refrigerant Charge Calculator V 4.0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</si>
</sst>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rgb="FFFF0000"/>
      <name val="Calibri"/>
      <family val="2"/>
    </font>
    <font>
      <sz val="11"/>
      <name val="Arial"/>
      <family val="2"/>
    </font>
    <font>
      <b/>
      <sz val="22"/>
      <color rgb="FFFF0000"/>
      <name val="Calibri"/>
      <family val="2"/>
    </font>
    <font>
      <b/>
      <sz val="12"/>
      <color theme="1"/>
      <name val="Calibri"/>
      <family val="2"/>
    </font>
    <font>
      <b/>
      <sz val="14"/>
      <color rgb="FF000000"/>
      <name val="Calibri"/>
      <family val="2"/>
    </font>
    <font>
      <b/>
      <i/>
      <u/>
      <sz val="12"/>
      <color rgb="FF222A35"/>
      <name val="Calibri"/>
      <family val="2"/>
    </font>
    <font>
      <b/>
      <sz val="14"/>
      <color theme="1"/>
      <name val="Calibri"/>
      <family val="2"/>
    </font>
    <font>
      <sz val="18"/>
      <color theme="1"/>
      <name val="Calibri"/>
      <family val="2"/>
    </font>
    <font>
      <sz val="11"/>
      <color rgb="FF000000"/>
      <name val="Calibri"/>
      <family val="2"/>
    </font>
    <font>
      <b/>
      <sz val="26"/>
      <color theme="1"/>
      <name val="Calibri"/>
      <family val="2"/>
    </font>
    <font>
      <b/>
      <sz val="18"/>
      <color theme="1"/>
      <name val="Calibri"/>
      <family val="2"/>
    </font>
    <font>
      <b/>
      <sz val="24"/>
      <color theme="1"/>
      <name val="Calibri"/>
      <family val="2"/>
    </font>
    <font>
      <b/>
      <sz val="14"/>
      <color rgb="FFFF0000"/>
      <name val="Calibri"/>
      <family val="2"/>
    </font>
    <font>
      <b/>
      <vertAlign val="subscript"/>
      <sz val="18"/>
      <color rgb="FFFF0000"/>
      <name val="Calibri"/>
      <family val="2"/>
    </font>
    <font>
      <b/>
      <sz val="11"/>
      <color rgb="FFFF0000"/>
      <name val="Calibri"/>
      <family val="2"/>
    </font>
    <font>
      <b/>
      <sz val="22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20"/>
      <color theme="1"/>
      <name val="Calibri"/>
      <family val="2"/>
    </font>
    <font>
      <b/>
      <sz val="20"/>
      <color theme="0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vertAlign val="subscript"/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vertAlign val="superscript"/>
      <sz val="11"/>
      <color theme="1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44546A"/>
        <bgColor rgb="FF44546A"/>
      </patternFill>
    </fill>
    <fill>
      <patternFill patternType="solid">
        <fgColor rgb="FFD9E2F3"/>
        <bgColor rgb="FFD9E2F3"/>
      </patternFill>
    </fill>
    <fill>
      <patternFill patternType="solid">
        <fgColor rgb="FFFFFF00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B7B7B7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3" fillId="0" borderId="0" xfId="0" applyFont="1"/>
    <xf numFmtId="0" fontId="5" fillId="3" borderId="1" xfId="0" applyFont="1" applyFill="1" applyBorder="1"/>
    <xf numFmtId="0" fontId="5" fillId="3" borderId="3" xfId="0" applyFont="1" applyFill="1" applyBorder="1"/>
    <xf numFmtId="0" fontId="5" fillId="3" borderId="7" xfId="0" applyFont="1" applyFill="1" applyBorder="1"/>
    <xf numFmtId="0" fontId="5" fillId="3" borderId="9" xfId="0" applyFont="1" applyFill="1" applyBorder="1"/>
    <xf numFmtId="0" fontId="5" fillId="3" borderId="12" xfId="0" applyFont="1" applyFill="1" applyBorder="1"/>
    <xf numFmtId="0" fontId="9" fillId="0" borderId="0" xfId="0" applyFont="1"/>
    <xf numFmtId="0" fontId="4" fillId="4" borderId="17" xfId="0" applyFont="1" applyFill="1" applyBorder="1" applyAlignment="1">
      <alignment horizontal="center" vertical="center"/>
    </xf>
    <xf numFmtId="0" fontId="13" fillId="0" borderId="0" xfId="0" applyFont="1"/>
    <xf numFmtId="49" fontId="4" fillId="4" borderId="16" xfId="0" applyNumberFormat="1" applyFont="1" applyFill="1" applyBorder="1" applyAlignment="1">
      <alignment horizontal="center" wrapText="1"/>
    </xf>
    <xf numFmtId="49" fontId="4" fillId="4" borderId="17" xfId="0" applyNumberFormat="1" applyFont="1" applyFill="1" applyBorder="1" applyAlignment="1">
      <alignment horizontal="center" wrapText="1"/>
    </xf>
    <xf numFmtId="2" fontId="5" fillId="0" borderId="16" xfId="0" applyNumberFormat="1" applyFont="1" applyBorder="1" applyAlignment="1">
      <alignment horizontal="center" vertical="center"/>
    </xf>
    <xf numFmtId="2" fontId="14" fillId="0" borderId="16" xfId="0" applyNumberFormat="1" applyFont="1" applyBorder="1" applyAlignment="1">
      <alignment horizontal="center" vertical="center"/>
    </xf>
    <xf numFmtId="2" fontId="5" fillId="0" borderId="0" xfId="0" applyNumberFormat="1" applyFont="1"/>
    <xf numFmtId="0" fontId="5" fillId="0" borderId="18" xfId="0" applyFont="1" applyBorder="1" applyAlignment="1">
      <alignment horizontal="left" vertical="center"/>
    </xf>
    <xf numFmtId="2" fontId="15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4" fontId="5" fillId="0" borderId="16" xfId="0" applyNumberFormat="1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 wrapText="1"/>
    </xf>
    <xf numFmtId="2" fontId="16" fillId="2" borderId="23" xfId="0" applyNumberFormat="1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16" fillId="0" borderId="0" xfId="0" applyNumberFormat="1" applyFont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1" fontId="18" fillId="2" borderId="24" xfId="0" applyNumberFormat="1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 wrapText="1"/>
    </xf>
    <xf numFmtId="0" fontId="5" fillId="3" borderId="25" xfId="0" applyFont="1" applyFill="1" applyBorder="1"/>
    <xf numFmtId="0" fontId="5" fillId="3" borderId="26" xfId="0" applyFont="1" applyFill="1" applyBorder="1"/>
    <xf numFmtId="0" fontId="5" fillId="3" borderId="27" xfId="0" applyFont="1" applyFill="1" applyBorder="1"/>
    <xf numFmtId="0" fontId="11" fillId="5" borderId="16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/>
    <xf numFmtId="0" fontId="4" fillId="2" borderId="29" xfId="0" applyFont="1" applyFill="1" applyBorder="1"/>
    <xf numFmtId="0" fontId="0" fillId="6" borderId="35" xfId="0" applyFont="1" applyFill="1" applyBorder="1" applyAlignment="1"/>
    <xf numFmtId="0" fontId="5" fillId="0" borderId="14" xfId="0" applyFont="1" applyBorder="1" applyAlignment="1">
      <alignment horizontal="left" vertical="center"/>
    </xf>
    <xf numFmtId="0" fontId="0" fillId="0" borderId="0" xfId="0" applyFont="1" applyAlignment="1"/>
    <xf numFmtId="0" fontId="24" fillId="5" borderId="16" xfId="0" applyFont="1" applyFill="1" applyBorder="1" applyAlignment="1" applyProtection="1">
      <alignment horizontal="center" vertical="center"/>
      <protection locked="0"/>
    </xf>
    <xf numFmtId="0" fontId="25" fillId="5" borderId="16" xfId="0" applyFont="1" applyFill="1" applyBorder="1" applyAlignment="1" applyProtection="1">
      <alignment horizontal="center" vertical="center"/>
      <protection locked="0"/>
    </xf>
    <xf numFmtId="0" fontId="26" fillId="2" borderId="23" xfId="0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8" fillId="0" borderId="0" xfId="0" applyFont="1" applyAlignment="1"/>
    <xf numFmtId="0" fontId="3" fillId="0" borderId="0" xfId="0" applyFont="1" applyAlignment="1"/>
    <xf numFmtId="0" fontId="30" fillId="0" borderId="0" xfId="0" applyFont="1" applyAlignment="1">
      <alignment vertical="center"/>
    </xf>
    <xf numFmtId="0" fontId="30" fillId="0" borderId="0" xfId="0" applyFont="1"/>
    <xf numFmtId="0" fontId="31" fillId="0" borderId="0" xfId="0" applyFont="1" applyAlignment="1"/>
    <xf numFmtId="0" fontId="30" fillId="0" borderId="0" xfId="0" applyFont="1" applyAlignment="1">
      <alignment horizontal="left" vertical="center"/>
    </xf>
    <xf numFmtId="0" fontId="5" fillId="7" borderId="32" xfId="0" applyFont="1" applyFill="1" applyBorder="1" applyAlignment="1"/>
    <xf numFmtId="0" fontId="0" fillId="6" borderId="33" xfId="0" applyFont="1" applyFill="1" applyBorder="1" applyAlignment="1"/>
    <xf numFmtId="0" fontId="5" fillId="7" borderId="30" xfId="0" applyFont="1" applyFill="1" applyBorder="1"/>
    <xf numFmtId="0" fontId="5" fillId="7" borderId="31" xfId="0" applyFont="1" applyFill="1" applyBorder="1"/>
    <xf numFmtId="0" fontId="5" fillId="7" borderId="32" xfId="0" applyFont="1" applyFill="1" applyBorder="1"/>
    <xf numFmtId="0" fontId="5" fillId="7" borderId="33" xfId="0" applyFont="1" applyFill="1" applyBorder="1"/>
    <xf numFmtId="0" fontId="23" fillId="7" borderId="32" xfId="0" applyFont="1" applyFill="1" applyBorder="1" applyAlignment="1"/>
    <xf numFmtId="0" fontId="6" fillId="7" borderId="33" xfId="0" applyFont="1" applyFill="1" applyBorder="1"/>
    <xf numFmtId="49" fontId="0" fillId="0" borderId="0" xfId="0" applyNumberFormat="1" applyFont="1" applyAlignment="1"/>
    <xf numFmtId="49" fontId="28" fillId="0" borderId="0" xfId="0" applyNumberFormat="1" applyFont="1" applyAlignment="1"/>
    <xf numFmtId="0" fontId="0" fillId="0" borderId="36" xfId="0" applyFont="1" applyBorder="1" applyAlignment="1"/>
    <xf numFmtId="0" fontId="28" fillId="0" borderId="36" xfId="0" applyFont="1" applyBorder="1" applyAlignment="1"/>
    <xf numFmtId="0" fontId="0" fillId="6" borderId="36" xfId="0" applyFont="1" applyFill="1" applyBorder="1" applyAlignment="1"/>
    <xf numFmtId="0" fontId="28" fillId="6" borderId="36" xfId="0" applyFont="1" applyFill="1" applyBorder="1" applyAlignment="1"/>
    <xf numFmtId="0" fontId="0" fillId="6" borderId="36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0" fillId="0" borderId="0" xfId="0" applyFont="1" applyFill="1" applyAlignment="1"/>
    <xf numFmtId="49" fontId="2" fillId="0" borderId="0" xfId="0" applyNumberFormat="1" applyFont="1" applyAlignment="1"/>
    <xf numFmtId="49" fontId="2" fillId="0" borderId="0" xfId="0" applyNumberFormat="1" applyFont="1"/>
    <xf numFmtId="0" fontId="2" fillId="0" borderId="0" xfId="0" applyFont="1" applyAlignment="1"/>
    <xf numFmtId="49" fontId="29" fillId="0" borderId="0" xfId="0" applyNumberFormat="1" applyFont="1" applyAlignment="1"/>
    <xf numFmtId="0" fontId="10" fillId="4" borderId="14" xfId="0" applyFont="1" applyFill="1" applyBorder="1" applyAlignment="1">
      <alignment horizontal="center" vertical="center"/>
    </xf>
    <xf numFmtId="0" fontId="8" fillId="0" borderId="15" xfId="0" applyFont="1" applyBorder="1"/>
    <xf numFmtId="0" fontId="12" fillId="4" borderId="14" xfId="0" applyFont="1" applyFill="1" applyBorder="1" applyAlignment="1">
      <alignment horizontal="center" vertical="center"/>
    </xf>
    <xf numFmtId="0" fontId="8" fillId="0" borderId="18" xfId="0" applyFont="1" applyBorder="1"/>
    <xf numFmtId="49" fontId="4" fillId="4" borderId="14" xfId="0" applyNumberFormat="1" applyFont="1" applyFill="1" applyBorder="1" applyAlignment="1">
      <alignment horizontal="left" wrapText="1"/>
    </xf>
    <xf numFmtId="0" fontId="4" fillId="4" borderId="14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8" fillId="0" borderId="11" xfId="0" applyFont="1" applyBorder="1"/>
    <xf numFmtId="0" fontId="8" fillId="0" borderId="4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4" fillId="0" borderId="5" xfId="0" applyFont="1" applyBorder="1" applyAlignment="1">
      <alignment horizontal="center" vertical="center"/>
    </xf>
    <xf numFmtId="0" fontId="0" fillId="0" borderId="0" xfId="0" applyFont="1" applyAlignment="1"/>
    <xf numFmtId="0" fontId="8" fillId="0" borderId="6" xfId="0" applyFont="1" applyBorder="1"/>
    <xf numFmtId="0" fontId="5" fillId="0" borderId="8" xfId="0" applyFont="1" applyBorder="1" applyAlignment="1">
      <alignment horizontal="center"/>
    </xf>
    <xf numFmtId="0" fontId="8" fillId="0" borderId="13" xfId="0" applyFont="1" applyBorder="1"/>
    <xf numFmtId="0" fontId="8" fillId="0" borderId="10" xfId="0" applyFont="1" applyBorder="1"/>
    <xf numFmtId="0" fontId="1" fillId="6" borderId="34" xfId="0" applyFont="1" applyFill="1" applyBorder="1" applyAlignment="1"/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6AA84F"/>
          <bgColor rgb="FF6AA84F"/>
        </patternFill>
      </fill>
    </dxf>
    <dxf>
      <font>
        <color theme="0"/>
      </font>
      <fill>
        <patternFill patternType="solid">
          <fgColor theme="9"/>
          <bgColor theme="9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9"/>
          <bgColor theme="9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9"/>
          <bgColor theme="9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1000"/>
  <sheetViews>
    <sheetView showGridLines="0" tabSelected="1" topLeftCell="A10" zoomScaleNormal="100" workbookViewId="0">
      <selection activeCell="C31" sqref="C31:E31"/>
    </sheetView>
  </sheetViews>
  <sheetFormatPr defaultColWidth="12.625" defaultRowHeight="15" customHeight="1" x14ac:dyDescent="0.2"/>
  <cols>
    <col min="1" max="1" width="3" customWidth="1"/>
    <col min="2" max="2" width="2.75" customWidth="1"/>
    <col min="3" max="3" width="31.375" customWidth="1"/>
    <col min="4" max="4" width="13" customWidth="1"/>
    <col min="5" max="5" width="14.5" customWidth="1"/>
    <col min="6" max="6" width="21.125" customWidth="1"/>
    <col min="7" max="7" width="2.625" customWidth="1"/>
    <col min="8" max="8" width="4" customWidth="1"/>
    <col min="9" max="10" width="7.625" customWidth="1"/>
    <col min="11" max="11" width="14.25" bestFit="1" customWidth="1"/>
    <col min="12" max="26" width="7.625" customWidth="1"/>
  </cols>
  <sheetData>
    <row r="1" spans="2:15" ht="14.25" customHeight="1" x14ac:dyDescent="0.2"/>
    <row r="2" spans="2:15" ht="14.25" customHeight="1" x14ac:dyDescent="0.25">
      <c r="B2" s="2"/>
      <c r="C2" s="3"/>
      <c r="D2" s="3"/>
      <c r="E2" s="3"/>
      <c r="F2" s="3"/>
      <c r="G2" s="4"/>
    </row>
    <row r="3" spans="2:15" ht="43.9" customHeight="1" x14ac:dyDescent="0.45">
      <c r="B3" s="5"/>
      <c r="C3" s="75" t="s">
        <v>72</v>
      </c>
      <c r="D3" s="76"/>
      <c r="E3" s="76"/>
      <c r="F3" s="77"/>
      <c r="G3" s="6"/>
      <c r="J3" s="7" t="s">
        <v>18</v>
      </c>
    </row>
    <row r="4" spans="2:15" ht="22.5" customHeight="1" x14ac:dyDescent="0.25">
      <c r="B4" s="5"/>
      <c r="C4" s="69" t="s">
        <v>59</v>
      </c>
      <c r="D4" s="70"/>
      <c r="E4" s="32" t="s">
        <v>57</v>
      </c>
      <c r="F4" s="8"/>
      <c r="G4" s="6"/>
    </row>
    <row r="5" spans="2:15" ht="22.5" customHeight="1" x14ac:dyDescent="0.45">
      <c r="B5" s="5"/>
      <c r="C5" s="69" t="s">
        <v>19</v>
      </c>
      <c r="D5" s="70"/>
      <c r="E5" s="32" t="s">
        <v>3</v>
      </c>
      <c r="F5" s="8"/>
      <c r="G5" s="6"/>
      <c r="J5" s="7" t="s">
        <v>20</v>
      </c>
    </row>
    <row r="6" spans="2:15" ht="22.5" customHeight="1" x14ac:dyDescent="0.3">
      <c r="B6" s="5"/>
      <c r="C6" s="71" t="s">
        <v>21</v>
      </c>
      <c r="D6" s="72"/>
      <c r="E6" s="72"/>
      <c r="F6" s="70"/>
      <c r="G6" s="6"/>
      <c r="J6" s="9" t="s">
        <v>22</v>
      </c>
    </row>
    <row r="7" spans="2:15" ht="14.25" customHeight="1" x14ac:dyDescent="0.25">
      <c r="B7" s="5"/>
      <c r="C7" s="73" t="s">
        <v>23</v>
      </c>
      <c r="D7" s="70"/>
      <c r="E7" s="10" t="s">
        <v>24</v>
      </c>
      <c r="F7" s="11" t="s">
        <v>25</v>
      </c>
      <c r="G7" s="6"/>
    </row>
    <row r="8" spans="2:15" ht="14.25" customHeight="1" x14ac:dyDescent="0.25">
      <c r="B8" s="5"/>
      <c r="C8" s="74" t="s">
        <v>26</v>
      </c>
      <c r="D8" s="72"/>
      <c r="E8" s="72"/>
      <c r="F8" s="70"/>
      <c r="G8" s="6"/>
      <c r="J8" s="44" t="s">
        <v>27</v>
      </c>
      <c r="K8" s="45"/>
      <c r="L8" s="45"/>
      <c r="M8" s="46"/>
      <c r="N8" s="46"/>
      <c r="O8" s="46"/>
    </row>
    <row r="9" spans="2:15" ht="14.25" customHeight="1" x14ac:dyDescent="0.25">
      <c r="B9" s="5"/>
      <c r="C9" s="78" t="s">
        <v>28</v>
      </c>
      <c r="D9" s="70"/>
      <c r="E9" s="38">
        <v>0</v>
      </c>
      <c r="F9" s="12">
        <f>E9*0.0455</f>
        <v>0</v>
      </c>
      <c r="G9" s="6"/>
      <c r="J9" s="44" t="s">
        <v>64</v>
      </c>
      <c r="K9" s="45"/>
      <c r="L9" s="45"/>
      <c r="M9" s="46"/>
      <c r="N9" s="46"/>
      <c r="O9" s="46"/>
    </row>
    <row r="10" spans="2:15" ht="14.25" customHeight="1" x14ac:dyDescent="0.25">
      <c r="B10" s="5"/>
      <c r="C10" s="78" t="s">
        <v>29</v>
      </c>
      <c r="D10" s="70"/>
      <c r="E10" s="38">
        <v>0</v>
      </c>
      <c r="F10" s="12">
        <f>E10*0.0814</f>
        <v>0</v>
      </c>
      <c r="G10" s="6"/>
      <c r="J10" s="44" t="s">
        <v>30</v>
      </c>
      <c r="K10" s="45"/>
      <c r="L10" s="45"/>
      <c r="M10" s="46"/>
      <c r="N10" s="46"/>
      <c r="O10" s="46"/>
    </row>
    <row r="11" spans="2:15" ht="14.25" customHeight="1" x14ac:dyDescent="0.25">
      <c r="B11" s="5"/>
      <c r="C11" s="78" t="s">
        <v>31</v>
      </c>
      <c r="D11" s="70"/>
      <c r="E11" s="38">
        <v>0</v>
      </c>
      <c r="F11" s="12">
        <f>E11*0.089</f>
        <v>0</v>
      </c>
      <c r="G11" s="6"/>
      <c r="J11" s="47" t="s">
        <v>65</v>
      </c>
      <c r="K11" s="45"/>
      <c r="L11" s="45"/>
      <c r="M11" s="46"/>
      <c r="N11" s="46"/>
      <c r="O11" s="46"/>
    </row>
    <row r="12" spans="2:15" ht="23.25" x14ac:dyDescent="0.25">
      <c r="B12" s="5"/>
      <c r="C12" s="79" t="s">
        <v>32</v>
      </c>
      <c r="D12" s="72"/>
      <c r="E12" s="70"/>
      <c r="F12" s="13">
        <f>SUM(F9:F11)</f>
        <v>0</v>
      </c>
      <c r="G12" s="6"/>
      <c r="J12" s="44" t="s">
        <v>33</v>
      </c>
      <c r="K12" s="46"/>
      <c r="L12" s="46"/>
      <c r="M12" s="46"/>
      <c r="N12" s="46"/>
      <c r="O12" s="46"/>
    </row>
    <row r="13" spans="2:15" ht="14.25" customHeight="1" x14ac:dyDescent="0.25">
      <c r="B13" s="5"/>
      <c r="C13" s="80"/>
      <c r="D13" s="72"/>
      <c r="E13" s="72"/>
      <c r="F13" s="70"/>
      <c r="G13" s="6"/>
    </row>
    <row r="14" spans="2:15" ht="14.25" customHeight="1" x14ac:dyDescent="0.25">
      <c r="B14" s="5"/>
      <c r="C14" s="74" t="s">
        <v>34</v>
      </c>
      <c r="D14" s="72"/>
      <c r="E14" s="72"/>
      <c r="F14" s="70"/>
      <c r="G14" s="6"/>
      <c r="J14" s="68"/>
      <c r="K14" s="65"/>
      <c r="L14" s="65"/>
    </row>
    <row r="15" spans="2:15" ht="14.25" customHeight="1" x14ac:dyDescent="0.25">
      <c r="B15" s="5"/>
      <c r="C15" s="78" t="s">
        <v>35</v>
      </c>
      <c r="D15" s="70"/>
      <c r="E15" s="38">
        <v>0</v>
      </c>
      <c r="F15" s="12">
        <f>E15*0.0037</f>
        <v>0</v>
      </c>
      <c r="G15" s="6"/>
      <c r="J15" s="66"/>
      <c r="K15" s="65"/>
      <c r="L15" s="65"/>
    </row>
    <row r="16" spans="2:15" ht="14.25" customHeight="1" x14ac:dyDescent="0.25">
      <c r="B16" s="5"/>
      <c r="C16" s="78" t="s">
        <v>36</v>
      </c>
      <c r="D16" s="70"/>
      <c r="E16" s="38">
        <v>0</v>
      </c>
      <c r="F16" s="12">
        <f>E16*0.0073</f>
        <v>0</v>
      </c>
      <c r="G16" s="6"/>
      <c r="J16" s="65"/>
      <c r="K16" s="65"/>
      <c r="L16" s="65"/>
    </row>
    <row r="17" spans="2:23" ht="14.25" customHeight="1" x14ac:dyDescent="0.25">
      <c r="B17" s="5"/>
      <c r="C17" s="78" t="s">
        <v>37</v>
      </c>
      <c r="D17" s="72"/>
      <c r="E17" s="38">
        <v>0</v>
      </c>
      <c r="F17" s="12">
        <f>E17*0.0066</f>
        <v>0</v>
      </c>
      <c r="G17" s="6"/>
      <c r="H17" s="14"/>
      <c r="J17" s="65"/>
      <c r="K17" s="65"/>
      <c r="L17" s="65"/>
    </row>
    <row r="18" spans="2:23" ht="14.25" customHeight="1" x14ac:dyDescent="0.25">
      <c r="B18" s="5"/>
      <c r="C18" s="36" t="s">
        <v>54</v>
      </c>
      <c r="D18" s="15"/>
      <c r="E18" s="38">
        <v>0</v>
      </c>
      <c r="F18" s="12">
        <f>E18*0.0114</f>
        <v>0</v>
      </c>
      <c r="G18" s="6"/>
      <c r="H18" s="14"/>
      <c r="J18" s="65"/>
      <c r="K18" s="65"/>
      <c r="L18" s="65"/>
    </row>
    <row r="19" spans="2:23" ht="14.25" customHeight="1" x14ac:dyDescent="0.25">
      <c r="B19" s="5"/>
      <c r="C19" s="36" t="s">
        <v>38</v>
      </c>
      <c r="D19" s="15"/>
      <c r="E19" s="38">
        <v>0</v>
      </c>
      <c r="F19" s="12">
        <f>E19*0.0104</f>
        <v>0</v>
      </c>
      <c r="G19" s="6"/>
      <c r="H19" s="14"/>
      <c r="J19" s="65"/>
      <c r="K19" s="65"/>
      <c r="L19" s="65"/>
    </row>
    <row r="20" spans="2:23" ht="23.25" x14ac:dyDescent="0.25">
      <c r="B20" s="5"/>
      <c r="C20" s="79" t="s">
        <v>39</v>
      </c>
      <c r="D20" s="72"/>
      <c r="E20" s="70"/>
      <c r="F20" s="13">
        <f>F17+F16+F15+F18+F19</f>
        <v>0</v>
      </c>
      <c r="G20" s="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</row>
    <row r="21" spans="2:23" ht="14.25" customHeight="1" x14ac:dyDescent="0.25">
      <c r="B21" s="5"/>
      <c r="C21" s="80"/>
      <c r="D21" s="72"/>
      <c r="E21" s="72"/>
      <c r="F21" s="70"/>
      <c r="G21" s="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</row>
    <row r="22" spans="2:23" ht="14.25" customHeight="1" x14ac:dyDescent="0.25">
      <c r="B22" s="5"/>
      <c r="C22" s="74" t="s">
        <v>40</v>
      </c>
      <c r="D22" s="72"/>
      <c r="E22" s="72"/>
      <c r="F22" s="70"/>
      <c r="G22" s="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</row>
    <row r="23" spans="2:23" ht="14.25" customHeight="1" x14ac:dyDescent="0.25">
      <c r="B23" s="5"/>
      <c r="C23" s="78" t="s">
        <v>41</v>
      </c>
      <c r="D23" s="72"/>
      <c r="E23" s="70"/>
      <c r="F23" s="12">
        <f>IF(E5="8 L",2.4,1.2)</f>
        <v>2.4</v>
      </c>
      <c r="G23" s="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</row>
    <row r="24" spans="2:23" ht="14.25" customHeight="1" x14ac:dyDescent="0.25">
      <c r="B24" s="5"/>
      <c r="C24" s="78" t="s">
        <v>56</v>
      </c>
      <c r="D24" s="72"/>
      <c r="E24" s="70"/>
      <c r="F24" s="16">
        <f>IF(E4="Cubo2 Smart", 1.3, 0.21)</f>
        <v>1.3</v>
      </c>
      <c r="G24" s="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</row>
    <row r="25" spans="2:23" ht="23.25" x14ac:dyDescent="0.25">
      <c r="B25" s="5"/>
      <c r="C25" s="79" t="s">
        <v>42</v>
      </c>
      <c r="D25" s="72"/>
      <c r="E25" s="70"/>
      <c r="F25" s="13">
        <f>F24+F23</f>
        <v>3.7</v>
      </c>
      <c r="G25" s="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</row>
    <row r="26" spans="2:23" ht="14.25" customHeight="1" x14ac:dyDescent="0.25">
      <c r="B26" s="5"/>
      <c r="C26" s="80"/>
      <c r="D26" s="72"/>
      <c r="E26" s="72"/>
      <c r="F26" s="70"/>
      <c r="G26" s="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</row>
    <row r="27" spans="2:23" ht="14.25" customHeight="1" x14ac:dyDescent="0.25">
      <c r="B27" s="5"/>
      <c r="C27" s="74" t="s">
        <v>43</v>
      </c>
      <c r="D27" s="72"/>
      <c r="E27" s="72"/>
      <c r="F27" s="70"/>
      <c r="G27" s="6"/>
      <c r="H27" s="56"/>
      <c r="I27" s="56"/>
      <c r="M27" s="65"/>
      <c r="N27" s="65"/>
      <c r="O27" s="65"/>
      <c r="P27" s="65"/>
      <c r="Q27" s="65"/>
      <c r="R27" s="56"/>
      <c r="S27" s="56"/>
      <c r="T27" s="56"/>
      <c r="U27" s="56"/>
      <c r="V27" s="56"/>
      <c r="W27" s="56"/>
    </row>
    <row r="28" spans="2:23" ht="14.25" customHeight="1" x14ac:dyDescent="0.25">
      <c r="B28" s="5"/>
      <c r="C28" s="17" t="s">
        <v>44</v>
      </c>
      <c r="D28" s="39" t="s">
        <v>4</v>
      </c>
      <c r="E28" s="38">
        <v>0</v>
      </c>
      <c r="F28" s="18">
        <f>(IF(D28="dm3 (Litres)",(E28/1000*300.13),E28))</f>
        <v>0</v>
      </c>
      <c r="G28" s="6"/>
      <c r="H28" s="56"/>
      <c r="I28" s="57"/>
      <c r="M28" s="65"/>
      <c r="N28" s="65"/>
      <c r="O28" s="65"/>
      <c r="P28" s="65"/>
      <c r="Q28" s="65"/>
      <c r="R28" s="56"/>
      <c r="S28" s="56"/>
      <c r="T28" s="56"/>
      <c r="U28" s="56"/>
      <c r="V28" s="56"/>
      <c r="W28" s="56"/>
    </row>
    <row r="29" spans="2:23" ht="14.25" customHeight="1" x14ac:dyDescent="0.25">
      <c r="B29" s="5"/>
      <c r="C29" s="17" t="s">
        <v>45</v>
      </c>
      <c r="D29" s="39" t="s">
        <v>4</v>
      </c>
      <c r="E29" s="38">
        <v>0</v>
      </c>
      <c r="F29" s="18">
        <f t="shared" ref="F29:F30" si="0">(IF(D29="dm3 (Litres)",(E29/1000*300.13),E29))</f>
        <v>0</v>
      </c>
      <c r="G29" s="6"/>
      <c r="H29" s="56"/>
      <c r="I29" s="57"/>
      <c r="M29" s="65"/>
      <c r="N29" s="65"/>
      <c r="O29" s="65"/>
      <c r="P29" s="65"/>
      <c r="Q29" s="65"/>
      <c r="R29" s="56"/>
      <c r="S29" s="56"/>
      <c r="T29" s="56"/>
      <c r="U29" s="56"/>
      <c r="V29" s="56"/>
      <c r="W29" s="56"/>
    </row>
    <row r="30" spans="2:23" ht="14.25" customHeight="1" x14ac:dyDescent="0.25">
      <c r="B30" s="5"/>
      <c r="C30" s="17" t="s">
        <v>46</v>
      </c>
      <c r="D30" s="39" t="s">
        <v>4</v>
      </c>
      <c r="E30" s="38">
        <v>0</v>
      </c>
      <c r="F30" s="18">
        <f t="shared" si="0"/>
        <v>0</v>
      </c>
      <c r="G30" s="6"/>
      <c r="H30" s="56"/>
      <c r="I30" s="57"/>
      <c r="M30" s="65"/>
      <c r="N30" s="65"/>
      <c r="O30" s="65"/>
      <c r="P30" s="65"/>
      <c r="Q30" s="65"/>
      <c r="R30" s="56"/>
      <c r="S30" s="56"/>
      <c r="T30" s="56"/>
      <c r="U30" s="56"/>
      <c r="V30" s="56"/>
      <c r="W30" s="56"/>
    </row>
    <row r="31" spans="2:23" ht="23.25" x14ac:dyDescent="0.25">
      <c r="B31" s="5"/>
      <c r="C31" s="79" t="s">
        <v>47</v>
      </c>
      <c r="D31" s="72"/>
      <c r="E31" s="70"/>
      <c r="F31" s="19">
        <f>SUM(F28:F30)</f>
        <v>0</v>
      </c>
      <c r="G31" s="6"/>
      <c r="H31" s="56"/>
      <c r="I31" s="56"/>
      <c r="M31" s="65"/>
      <c r="N31" s="65"/>
      <c r="O31" s="65"/>
      <c r="P31" s="65"/>
      <c r="Q31" s="65"/>
      <c r="R31" s="56"/>
      <c r="S31" s="56"/>
      <c r="T31" s="56"/>
      <c r="U31" s="56"/>
      <c r="V31" s="56"/>
      <c r="W31" s="56"/>
    </row>
    <row r="32" spans="2:23" ht="14.25" customHeight="1" x14ac:dyDescent="0.25">
      <c r="B32" s="5"/>
      <c r="C32" s="81"/>
      <c r="D32" s="82"/>
      <c r="E32" s="82"/>
      <c r="F32" s="83"/>
      <c r="G32" s="6"/>
      <c r="H32" s="56"/>
      <c r="I32" s="56"/>
      <c r="M32" s="65"/>
      <c r="N32" s="65"/>
      <c r="O32" s="65"/>
      <c r="P32" s="65"/>
      <c r="Q32" s="65"/>
      <c r="R32" s="56"/>
      <c r="S32" s="56"/>
      <c r="T32" s="56"/>
      <c r="U32" s="56"/>
      <c r="V32" s="56"/>
      <c r="W32" s="56"/>
    </row>
    <row r="33" spans="2:23" ht="14.25" customHeight="1" x14ac:dyDescent="0.25">
      <c r="B33" s="5"/>
      <c r="C33" s="84"/>
      <c r="D33" s="85"/>
      <c r="E33" s="85"/>
      <c r="F33" s="86"/>
      <c r="G33" s="6"/>
      <c r="H33" s="56"/>
      <c r="I33" s="56"/>
      <c r="J33" s="65"/>
      <c r="K33" s="65"/>
      <c r="L33" s="65"/>
      <c r="M33" s="65"/>
      <c r="N33" s="65"/>
      <c r="O33" s="65"/>
      <c r="P33" s="65"/>
      <c r="Q33" s="65"/>
      <c r="R33" s="56"/>
      <c r="S33" s="56"/>
      <c r="T33" s="56"/>
      <c r="U33" s="56"/>
      <c r="V33" s="56"/>
      <c r="W33" s="56"/>
    </row>
    <row r="34" spans="2:23" ht="49.5" x14ac:dyDescent="0.25">
      <c r="B34" s="5"/>
      <c r="C34" s="20" t="s">
        <v>48</v>
      </c>
      <c r="D34" s="21" t="s">
        <v>25</v>
      </c>
      <c r="E34" s="21">
        <f>F31+F25+F20+F12</f>
        <v>3.7</v>
      </c>
      <c r="F34" s="41" t="str">
        <f>IF($E$5="8 L",(IF(E36&gt;7.2,"Stop! Charge Exceeded","ok")),(IF(E36&gt;3.5,"!","ok")))</f>
        <v>ok</v>
      </c>
      <c r="G34" s="6"/>
      <c r="H34" s="56"/>
      <c r="I34" s="56"/>
      <c r="J34" s="65"/>
      <c r="K34" s="65"/>
      <c r="L34" s="65"/>
      <c r="M34" s="65"/>
      <c r="N34" s="65"/>
      <c r="O34" s="65"/>
      <c r="P34" s="65"/>
      <c r="Q34" s="65"/>
      <c r="R34" s="56"/>
      <c r="S34" s="56"/>
      <c r="T34" s="57"/>
      <c r="U34" s="56"/>
      <c r="V34" s="56"/>
      <c r="W34" s="56"/>
    </row>
    <row r="35" spans="2:23" ht="14.25" customHeight="1" x14ac:dyDescent="0.25">
      <c r="B35" s="5"/>
      <c r="C35" s="87"/>
      <c r="D35" s="88"/>
      <c r="E35" s="88"/>
      <c r="F35" s="89"/>
      <c r="G35" s="6"/>
      <c r="H35" s="56"/>
      <c r="I35" s="56"/>
      <c r="J35" s="65"/>
      <c r="K35" s="65"/>
      <c r="L35" s="65"/>
      <c r="M35" s="65"/>
      <c r="N35" s="65"/>
      <c r="O35" s="65"/>
      <c r="P35" s="65"/>
      <c r="Q35" s="65"/>
      <c r="R35" s="56"/>
      <c r="S35" s="56"/>
      <c r="T35" s="56"/>
      <c r="U35" s="56"/>
      <c r="V35" s="56"/>
      <c r="W35" s="56"/>
    </row>
    <row r="36" spans="2:23" ht="56.25" x14ac:dyDescent="0.25">
      <c r="B36" s="5"/>
      <c r="C36" s="22" t="s">
        <v>49</v>
      </c>
      <c r="D36" s="21" t="s">
        <v>25</v>
      </c>
      <c r="E36" s="21">
        <f>F31+F23+F20</f>
        <v>2.4</v>
      </c>
      <c r="F36" s="40" t="str">
        <f>IF($E$5="8 L",(IF(E36&gt;7.2,"Not Allowed! Must be ≤ 7.2kg","ok")),(IF(E36&gt;3.5,"Not Allowed! Must be ≤ 3.5kg","ok")))</f>
        <v>ok</v>
      </c>
      <c r="G36" s="6"/>
      <c r="H36" s="56"/>
      <c r="I36" s="56"/>
      <c r="J36" s="65"/>
      <c r="K36" s="65"/>
      <c r="L36" s="65"/>
      <c r="M36" s="65"/>
      <c r="N36" s="65"/>
      <c r="O36" s="65"/>
      <c r="P36" s="65"/>
      <c r="Q36" s="65"/>
      <c r="R36" s="56"/>
      <c r="S36" s="56"/>
      <c r="T36" s="56"/>
      <c r="U36" s="56"/>
      <c r="V36" s="56"/>
      <c r="W36" s="56"/>
    </row>
    <row r="37" spans="2:23" ht="78.75" x14ac:dyDescent="0.25">
      <c r="B37" s="5"/>
      <c r="C37" s="23" t="s">
        <v>50</v>
      </c>
      <c r="D37" s="21" t="s">
        <v>25</v>
      </c>
      <c r="E37" s="21">
        <f>F31+F23+F20+F12</f>
        <v>2.4</v>
      </c>
      <c r="F37" s="40" t="str">
        <f>IF($E$5="8 L",(IF(E37&gt;7.2,"Fit ball valves on branch lines","ok")),(IF(E37&gt;3.5,"Fit ball valves on branch lines","ok")))</f>
        <v>ok</v>
      </c>
      <c r="G37" s="6"/>
      <c r="H37" s="56"/>
      <c r="I37" s="56"/>
      <c r="J37" s="65"/>
      <c r="K37" s="65"/>
      <c r="L37" s="65"/>
      <c r="M37" s="65"/>
      <c r="N37" s="65"/>
      <c r="O37" s="65"/>
      <c r="P37" s="65"/>
      <c r="Q37" s="65"/>
      <c r="R37" s="56"/>
      <c r="S37" s="56"/>
      <c r="T37" s="56"/>
      <c r="U37" s="56"/>
      <c r="V37" s="56"/>
      <c r="W37" s="56"/>
    </row>
    <row r="38" spans="2:23" ht="21" customHeight="1" x14ac:dyDescent="0.25">
      <c r="B38" s="5"/>
      <c r="C38" s="24"/>
      <c r="D38" s="25"/>
      <c r="E38" s="25"/>
      <c r="F38" s="26"/>
      <c r="G38" s="6"/>
      <c r="J38" s="67"/>
      <c r="K38" s="67"/>
      <c r="L38" s="67"/>
      <c r="M38" s="67"/>
      <c r="N38" s="67"/>
      <c r="O38" s="67"/>
      <c r="P38" s="67"/>
      <c r="Q38" s="67"/>
    </row>
    <row r="39" spans="2:23" ht="66.75" customHeight="1" x14ac:dyDescent="0.25">
      <c r="B39" s="5"/>
      <c r="C39" s="23" t="s">
        <v>51</v>
      </c>
      <c r="D39" s="21" t="s">
        <v>52</v>
      </c>
      <c r="E39" s="27">
        <f>IF(E34&lt;4,(4*125)-Reserved!D6,(E34*125)-Reserved!D6)</f>
        <v>250</v>
      </c>
      <c r="F39" s="28" t="s">
        <v>53</v>
      </c>
      <c r="G39" s="6"/>
    </row>
    <row r="40" spans="2:23" ht="14.25" customHeight="1" x14ac:dyDescent="0.25">
      <c r="B40" s="5"/>
      <c r="C40" s="90"/>
      <c r="D40" s="91"/>
      <c r="E40" s="91"/>
      <c r="F40" s="92"/>
      <c r="G40" s="6"/>
    </row>
    <row r="41" spans="2:23" ht="14.25" customHeight="1" x14ac:dyDescent="0.25">
      <c r="B41" s="29"/>
      <c r="C41" s="30"/>
      <c r="D41" s="30"/>
      <c r="E41" s="30"/>
      <c r="F41" s="30"/>
      <c r="G41" s="31"/>
    </row>
    <row r="42" spans="2:23" ht="14.25" customHeight="1" x14ac:dyDescent="0.2"/>
    <row r="43" spans="2:23" ht="14.25" customHeight="1" x14ac:dyDescent="0.2"/>
    <row r="44" spans="2:23" ht="14.25" customHeight="1" x14ac:dyDescent="0.2"/>
    <row r="45" spans="2:23" ht="14.25" customHeight="1" x14ac:dyDescent="0.2"/>
    <row r="46" spans="2:23" ht="14.25" customHeight="1" x14ac:dyDescent="0.2"/>
    <row r="47" spans="2:23" ht="14.25" customHeight="1" x14ac:dyDescent="0.2"/>
    <row r="48" spans="2:23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sheetProtection algorithmName="SHA-512" hashValue="H8f404UTuoNXWuZ/y1rnITqJrG/2IE3xmR9lx1mvm6JM/D/ozGifMM+vZY4lhjHKOk009g2H3XV5kV6jskDfKA==" saltValue="5lITTWwtIQ1whbVdQPqs+g==" spinCount="100000" sheet="1" objects="1" scenarios="1"/>
  <mergeCells count="27">
    <mergeCell ref="C31:E31"/>
    <mergeCell ref="C32:F33"/>
    <mergeCell ref="C35:F35"/>
    <mergeCell ref="C40:F40"/>
    <mergeCell ref="C20:E20"/>
    <mergeCell ref="C21:F21"/>
    <mergeCell ref="C22:F22"/>
    <mergeCell ref="C23:E23"/>
    <mergeCell ref="C24:E24"/>
    <mergeCell ref="C25:E25"/>
    <mergeCell ref="C26:F26"/>
    <mergeCell ref="C14:F14"/>
    <mergeCell ref="C15:D15"/>
    <mergeCell ref="C16:D16"/>
    <mergeCell ref="C17:D17"/>
    <mergeCell ref="C27:F27"/>
    <mergeCell ref="C9:D9"/>
    <mergeCell ref="C10:D10"/>
    <mergeCell ref="C11:D11"/>
    <mergeCell ref="C12:E12"/>
    <mergeCell ref="C13:F13"/>
    <mergeCell ref="C5:D5"/>
    <mergeCell ref="C6:F6"/>
    <mergeCell ref="C7:D7"/>
    <mergeCell ref="C8:F8"/>
    <mergeCell ref="C3:F3"/>
    <mergeCell ref="C4:D4"/>
  </mergeCells>
  <phoneticPr fontId="35" type="noConversion"/>
  <conditionalFormatting sqref="F36">
    <cfRule type="containsText" dxfId="7" priority="1" operator="containsText" text="Not allowed">
      <formula>NOT(ISERROR(SEARCH(("Not allowed"),(F36))))</formula>
    </cfRule>
  </conditionalFormatting>
  <conditionalFormatting sqref="F36">
    <cfRule type="containsText" dxfId="6" priority="2" operator="containsText" text="ok">
      <formula>NOT(ISERROR(SEARCH(("ok"),(F36))))</formula>
    </cfRule>
  </conditionalFormatting>
  <conditionalFormatting sqref="F37:F38">
    <cfRule type="containsText" dxfId="5" priority="3" operator="containsText" text="Fit ball">
      <formula>NOT(ISERROR(SEARCH(("Fit ball"),(F37))))</formula>
    </cfRule>
  </conditionalFormatting>
  <conditionalFormatting sqref="F37:F38">
    <cfRule type="containsText" dxfId="4" priority="4" operator="containsText" text="ok">
      <formula>NOT(ISERROR(SEARCH(("ok"),(F37))))</formula>
    </cfRule>
  </conditionalFormatting>
  <conditionalFormatting sqref="F39">
    <cfRule type="containsText" dxfId="3" priority="5" operator="containsText" text="Fit ball">
      <formula>NOT(ISERROR(SEARCH(("Fit ball"),(F39))))</formula>
    </cfRule>
  </conditionalFormatting>
  <conditionalFormatting sqref="F39">
    <cfRule type="containsText" dxfId="2" priority="6" operator="containsText" text="ok">
      <formula>NOT(ISERROR(SEARCH(("ok"),(F39))))</formula>
    </cfRule>
  </conditionalFormatting>
  <conditionalFormatting sqref="F34">
    <cfRule type="containsText" dxfId="1" priority="7" operator="containsText" text="ok">
      <formula>NOT(ISERROR(SEARCH(("ok"),(F34))))</formula>
    </cfRule>
  </conditionalFormatting>
  <conditionalFormatting sqref="F34">
    <cfRule type="containsText" dxfId="0" priority="8" operator="containsText" text="!">
      <formula>NOT(ISERROR(SEARCH(("!"),(F34))))</formula>
    </cfRule>
  </conditionalFormatting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Reserved!$C$4:$C$5</xm:f>
          </x14:formula1>
          <xm:sqref>D28:D30</xm:sqref>
        </x14:dataValidation>
        <x14:dataValidation type="list" allowBlank="1" showErrorMessage="1" xr:uid="{00000000-0002-0000-0000-000001000000}">
          <x14:formula1>
            <xm:f>Reserved!$B$4:$B$5</xm:f>
          </x14:formula1>
          <xm:sqref>E5</xm:sqref>
        </x14:dataValidation>
        <x14:dataValidation type="list" allowBlank="1" showInputMessage="1" showErrorMessage="1" xr:uid="{00000000-0002-0000-0000-000002000000}">
          <x14:formula1>
            <xm:f>Reserved!$E$3:$E$4</xm:f>
          </x14:formula1>
          <xm:sqref>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001"/>
  <sheetViews>
    <sheetView showGridLines="0" workbookViewId="0">
      <selection activeCell="B21" sqref="B21"/>
    </sheetView>
  </sheetViews>
  <sheetFormatPr defaultColWidth="12.625" defaultRowHeight="15" customHeight="1" x14ac:dyDescent="0.2"/>
  <cols>
    <col min="1" max="1" width="2.625" customWidth="1"/>
    <col min="2" max="2" width="65.875" bestFit="1" customWidth="1"/>
    <col min="3" max="3" width="12.875" customWidth="1"/>
    <col min="4" max="4" width="7.625" customWidth="1"/>
    <col min="5" max="5" width="14.25" bestFit="1" customWidth="1"/>
    <col min="6" max="7" width="6.875" bestFit="1" customWidth="1"/>
    <col min="8" max="8" width="7.625" customWidth="1"/>
    <col min="9" max="9" width="5.625" bestFit="1" customWidth="1"/>
    <col min="10" max="26" width="7.625" customWidth="1"/>
  </cols>
  <sheetData>
    <row r="1" spans="2:3" ht="14.25" customHeight="1" x14ac:dyDescent="0.2"/>
    <row r="2" spans="2:3" ht="14.25" customHeight="1" x14ac:dyDescent="0.25">
      <c r="B2" s="33" t="s">
        <v>1</v>
      </c>
      <c r="C2" s="34"/>
    </row>
    <row r="3" spans="2:3" ht="14.25" customHeight="1" x14ac:dyDescent="0.25">
      <c r="B3" s="50" t="s">
        <v>9</v>
      </c>
      <c r="C3" s="51"/>
    </row>
    <row r="4" spans="2:3" ht="14.25" customHeight="1" x14ac:dyDescent="0.25">
      <c r="B4" s="52" t="s">
        <v>10</v>
      </c>
      <c r="C4" s="53"/>
    </row>
    <row r="5" spans="2:3" ht="14.25" customHeight="1" x14ac:dyDescent="0.25">
      <c r="B5" s="52" t="s">
        <v>11</v>
      </c>
      <c r="C5" s="53"/>
    </row>
    <row r="6" spans="2:3" ht="14.25" customHeight="1" x14ac:dyDescent="0.25">
      <c r="B6" s="52" t="s">
        <v>12</v>
      </c>
      <c r="C6" s="53"/>
    </row>
    <row r="7" spans="2:3" ht="14.25" customHeight="1" x14ac:dyDescent="0.25">
      <c r="B7" s="52" t="s">
        <v>13</v>
      </c>
      <c r="C7" s="53"/>
    </row>
    <row r="8" spans="2:3" ht="14.25" customHeight="1" x14ac:dyDescent="0.25">
      <c r="B8" s="52" t="s">
        <v>14</v>
      </c>
      <c r="C8" s="53"/>
    </row>
    <row r="9" spans="2:3" ht="14.25" customHeight="1" x14ac:dyDescent="0.25">
      <c r="B9" s="52" t="s">
        <v>15</v>
      </c>
      <c r="C9" s="53"/>
    </row>
    <row r="10" spans="2:3" ht="14.25" customHeight="1" x14ac:dyDescent="0.25">
      <c r="B10" s="52" t="s">
        <v>16</v>
      </c>
      <c r="C10" s="53"/>
    </row>
    <row r="11" spans="2:3" ht="14.25" customHeight="1" x14ac:dyDescent="0.25">
      <c r="B11" s="54" t="s">
        <v>17</v>
      </c>
      <c r="C11" s="55"/>
    </row>
    <row r="12" spans="2:3" s="37" customFormat="1" ht="14.25" customHeight="1" x14ac:dyDescent="0.25">
      <c r="B12" s="54" t="s">
        <v>55</v>
      </c>
      <c r="C12" s="55"/>
    </row>
    <row r="13" spans="2:3" ht="14.25" customHeight="1" x14ac:dyDescent="0.25">
      <c r="B13" s="48" t="s">
        <v>63</v>
      </c>
      <c r="C13" s="49"/>
    </row>
    <row r="14" spans="2:3" ht="14.25" customHeight="1" x14ac:dyDescent="0.25">
      <c r="B14" s="93" t="s">
        <v>71</v>
      </c>
      <c r="C14" s="35"/>
    </row>
    <row r="15" spans="2:3" ht="14.25" customHeight="1" x14ac:dyDescent="0.2"/>
    <row r="16" spans="2:3" ht="14.25" customHeight="1" x14ac:dyDescent="0.2"/>
    <row r="17" spans="5:9" ht="14.25" customHeight="1" x14ac:dyDescent="0.2">
      <c r="E17" s="60"/>
      <c r="F17" s="62">
        <v>-5</v>
      </c>
      <c r="G17" s="62">
        <v>-10</v>
      </c>
      <c r="H17" s="62">
        <v>-30</v>
      </c>
      <c r="I17" s="60"/>
    </row>
    <row r="18" spans="5:9" ht="14.25" customHeight="1" x14ac:dyDescent="0.2">
      <c r="E18" s="61" t="s">
        <v>68</v>
      </c>
      <c r="F18" s="58">
        <v>523.4</v>
      </c>
      <c r="G18" s="58">
        <v>388.6</v>
      </c>
      <c r="H18" s="58">
        <v>151</v>
      </c>
      <c r="I18" s="61" t="s">
        <v>69</v>
      </c>
    </row>
    <row r="19" spans="5:9" ht="14.25" customHeight="1" x14ac:dyDescent="0.2">
      <c r="E19" s="61" t="s">
        <v>66</v>
      </c>
      <c r="F19" s="58">
        <v>76.86</v>
      </c>
      <c r="G19" s="59">
        <v>66.12</v>
      </c>
      <c r="H19" s="58">
        <v>35.07</v>
      </c>
      <c r="I19" s="61" t="s">
        <v>69</v>
      </c>
    </row>
    <row r="20" spans="5:9" ht="14.25" customHeight="1" x14ac:dyDescent="0.2">
      <c r="E20" s="61" t="s">
        <v>67</v>
      </c>
      <c r="F20" s="58">
        <f>AVERAGE(F18:F19)</f>
        <v>300.13</v>
      </c>
      <c r="G20" s="58">
        <f>AVERAGE(G18:G19)</f>
        <v>227.36</v>
      </c>
      <c r="H20" s="58">
        <f>AVERAGE(H18:H19)</f>
        <v>93.034999999999997</v>
      </c>
      <c r="I20" s="61" t="s">
        <v>69</v>
      </c>
    </row>
    <row r="21" spans="5:9" ht="14.25" customHeight="1" x14ac:dyDescent="0.2"/>
    <row r="22" spans="5:9" ht="14.25" customHeight="1" x14ac:dyDescent="0.2">
      <c r="E22" s="63" t="s">
        <v>70</v>
      </c>
      <c r="F22" s="64"/>
    </row>
    <row r="23" spans="5:9" ht="14.25" customHeight="1" x14ac:dyDescent="0.2"/>
    <row r="24" spans="5:9" ht="14.25" customHeight="1" x14ac:dyDescent="0.2"/>
    <row r="25" spans="5:9" ht="14.25" customHeight="1" x14ac:dyDescent="0.2"/>
    <row r="26" spans="5:9" ht="14.25" customHeight="1" x14ac:dyDescent="0.2"/>
    <row r="27" spans="5:9" ht="14.25" customHeight="1" x14ac:dyDescent="0.2"/>
    <row r="28" spans="5:9" ht="14.25" customHeight="1" x14ac:dyDescent="0.2"/>
    <row r="29" spans="5:9" ht="14.25" customHeight="1" x14ac:dyDescent="0.2"/>
    <row r="30" spans="5:9" ht="14.25" customHeight="1" x14ac:dyDescent="0.2"/>
    <row r="31" spans="5:9" ht="14.25" customHeight="1" x14ac:dyDescent="0.2"/>
    <row r="32" spans="5:9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</sheetData>
  <sheetProtection algorithmName="SHA-512" hashValue="cu1RIqhl5teCYpFFTbglaO9N6AKdAz0PxOJwjl4sO7n2QBF7fsM7bRG0n6CItdC0s2A32iW0ejx0p6518E2OzA==" saltValue="cFqY0P0DycOmdaheJCm8AQ==" spinCount="100000" sheet="1" objects="1" scenarios="1"/>
  <phoneticPr fontId="35" type="noConversion"/>
  <pageMargins left="0.7" right="0.7" top="0.75" bottom="0.75" header="0" footer="0"/>
  <pageSetup orientation="landscape"/>
  <ignoredErrors>
    <ignoredError sqref="F20:H2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001"/>
  <sheetViews>
    <sheetView showGridLines="0" workbookViewId="0">
      <selection activeCell="B8" sqref="B8"/>
    </sheetView>
  </sheetViews>
  <sheetFormatPr defaultColWidth="12.625" defaultRowHeight="15" customHeight="1" x14ac:dyDescent="0.2"/>
  <cols>
    <col min="1" max="1" width="7.625" customWidth="1"/>
    <col min="2" max="2" width="33.625" customWidth="1"/>
    <col min="3" max="3" width="13.5" customWidth="1"/>
    <col min="4" max="4" width="7.625" customWidth="1"/>
    <col min="5" max="5" width="16.75" customWidth="1"/>
    <col min="6" max="26" width="7.625" customWidth="1"/>
  </cols>
  <sheetData>
    <row r="1" spans="2:5" ht="14.25" customHeight="1" x14ac:dyDescent="0.2"/>
    <row r="2" spans="2:5" ht="14.25" customHeight="1" x14ac:dyDescent="0.2"/>
    <row r="3" spans="2:5" ht="14.25" customHeight="1" x14ac:dyDescent="0.3">
      <c r="B3" s="1" t="s">
        <v>0</v>
      </c>
      <c r="C3" s="1" t="s">
        <v>2</v>
      </c>
      <c r="E3" s="42" t="s">
        <v>57</v>
      </c>
    </row>
    <row r="4" spans="2:5" ht="14.25" customHeight="1" x14ac:dyDescent="0.3">
      <c r="B4" s="1" t="s">
        <v>3</v>
      </c>
      <c r="C4" s="1" t="s">
        <v>4</v>
      </c>
      <c r="E4" s="42" t="s">
        <v>58</v>
      </c>
    </row>
    <row r="5" spans="2:5" ht="14.25" customHeight="1" x14ac:dyDescent="0.3">
      <c r="B5" s="1" t="s">
        <v>5</v>
      </c>
      <c r="C5" s="1" t="s">
        <v>6</v>
      </c>
    </row>
    <row r="6" spans="2:5" ht="14.25" customHeight="1" x14ac:dyDescent="0.3">
      <c r="B6" s="1" t="s">
        <v>7</v>
      </c>
      <c r="C6" s="1" t="s">
        <v>8</v>
      </c>
      <c r="D6" s="1">
        <v>250</v>
      </c>
    </row>
    <row r="7" spans="2:5" ht="14.25" customHeight="1" x14ac:dyDescent="0.2"/>
    <row r="8" spans="2:5" s="37" customFormat="1" ht="14.25" customHeight="1" x14ac:dyDescent="0.3">
      <c r="B8" s="43" t="s">
        <v>60</v>
      </c>
    </row>
    <row r="9" spans="2:5" ht="14.25" customHeight="1" x14ac:dyDescent="0.3">
      <c r="B9" s="43" t="s">
        <v>62</v>
      </c>
      <c r="C9" s="43" t="s">
        <v>61</v>
      </c>
    </row>
    <row r="10" spans="2:5" ht="14.25" customHeight="1" x14ac:dyDescent="0.2"/>
    <row r="11" spans="2:5" ht="14.25" customHeight="1" x14ac:dyDescent="0.2"/>
    <row r="12" spans="2:5" ht="14.25" customHeight="1" x14ac:dyDescent="0.2"/>
    <row r="13" spans="2:5" ht="14.25" customHeight="1" x14ac:dyDescent="0.2"/>
    <row r="14" spans="2:5" ht="14.25" customHeight="1" x14ac:dyDescent="0.2"/>
    <row r="15" spans="2:5" ht="14.25" customHeight="1" x14ac:dyDescent="0.2"/>
    <row r="16" spans="2:5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</sheetData>
  <sheetProtection algorithmName="SHA-512" hashValue="hUCmmFT5fVYgSbNNuhOZjrc6jn7JuLaYp5qRtQfTKGeIQ2T66qK+GGThvGWbHSMU53P4r6f7mTReg2QM6BDpWQ==" saltValue="WP78EtBTls9WWTieKLSrcQ==" spinCount="100000" sheet="1" objects="1" scenarios="1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Revision Log</vt:lpstr>
      <vt:lpstr>Reserved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Benton</dc:creator>
  <cp:lastModifiedBy>Stephen Benton</cp:lastModifiedBy>
  <dcterms:created xsi:type="dcterms:W3CDTF">2020-09-23T13:15:33Z</dcterms:created>
  <dcterms:modified xsi:type="dcterms:W3CDTF">2020-11-23T12:08:32Z</dcterms:modified>
</cp:coreProperties>
</file>