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1480" yWindow="49216" windowWidth="29040" windowHeight="15840" activeTab="0"/>
  </bookViews>
  <sheets>
    <sheet name="Calculator" sheetId="2" r:id="rId1"/>
    <sheet name="Revision Log" sheetId="1" state="hidden" r:id="rId2"/>
    <sheet name="Reserved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<sst xmlns="http://schemas.openxmlformats.org/spreadsheetml/2006/main" count="131" uniqueCount="100">
  <si>
    <t>Liq Receiver Model</t>
  </si>
  <si>
    <t>Revisions</t>
  </si>
  <si>
    <t>UM</t>
  </si>
  <si>
    <t>dm3 (Litres)</t>
  </si>
  <si>
    <t>kg's</t>
  </si>
  <si>
    <t>Precharged Oil</t>
  </si>
  <si>
    <t xml:space="preserve">ml </t>
  </si>
  <si>
    <t>Save it on your PC before starting to use</t>
  </si>
  <si>
    <t>Liquid Receiver model</t>
  </si>
  <si>
    <t>***Please, check always the online version to be sure you are using the most updated one***</t>
  </si>
  <si>
    <t>Use &amp; fill out ONLY the yellow cells</t>
  </si>
  <si>
    <t>Notes for using this calculator:</t>
  </si>
  <si>
    <t>Pipework</t>
  </si>
  <si>
    <t>Metres</t>
  </si>
  <si>
    <t>kg</t>
  </si>
  <si>
    <t>LIQUID LINE</t>
  </si>
  <si>
    <t>1. Select or enter only using yellow cells</t>
  </si>
  <si>
    <t>Liquid Line 3/8" (120 bar K65)</t>
  </si>
  <si>
    <t>Liquid Line 1/2" (120 bar K65)</t>
  </si>
  <si>
    <t>Sub Total Liquid</t>
  </si>
  <si>
    <t>SUCTION LINE</t>
  </si>
  <si>
    <t>Suction Line 3/8" (120 bar K65)</t>
  </si>
  <si>
    <t>Suction Line 1/2" (120 bar K65)</t>
  </si>
  <si>
    <t>Suction Line 5/8" (120 bar K65)</t>
  </si>
  <si>
    <t>Sub Total Suction</t>
  </si>
  <si>
    <t>STANDING CHARGE</t>
  </si>
  <si>
    <t>Receiver</t>
  </si>
  <si>
    <t>Sub Total CUBO</t>
  </si>
  <si>
    <t>EVAPORATORS</t>
  </si>
  <si>
    <t>Sub Total Evaps</t>
  </si>
  <si>
    <r>
      <t xml:space="preserve">Total Charge </t>
    </r>
    <r>
      <rPr>
        <b/>
        <sz val="12"/>
        <color theme="1"/>
        <rFont val="Calibri"/>
        <family val="2"/>
      </rPr>
      <t>(minimum charge is 4kg)</t>
    </r>
  </si>
  <si>
    <t>UNIT MODEL</t>
  </si>
  <si>
    <t xml:space="preserve">Gas cooler 75m approx. (assume 25% liquid) 1300 </t>
  </si>
  <si>
    <t>0,85 dm3 (Assume 25% liquid: 0,21kg)</t>
  </si>
  <si>
    <t>Hold-up Inner Volume PHE (AQUA):</t>
  </si>
  <si>
    <t>Evap Outlet</t>
  </si>
  <si>
    <t>Average Density</t>
  </si>
  <si>
    <t>Exp Outlet</t>
  </si>
  <si>
    <r>
      <t>kg/m</t>
    </r>
    <r>
      <rPr>
        <vertAlign val="superscript"/>
        <sz val="11"/>
        <color theme="1"/>
        <rFont val="Arial"/>
        <family val="2"/>
      </rPr>
      <t>3</t>
    </r>
  </si>
  <si>
    <t>Source: Danfoss Coolselector2</t>
  </si>
  <si>
    <t>15 L</t>
  </si>
  <si>
    <t>37 L</t>
  </si>
  <si>
    <t xml:space="preserve">UMT </t>
  </si>
  <si>
    <t>BAT.GC MCQ2   0722A5402065521CO104 REV.B</t>
  </si>
  <si>
    <t>A3G500 AD01-58 (EBM)</t>
  </si>
  <si>
    <t>BAT.GC MCQ2         0722A5404065521CO106</t>
  </si>
  <si>
    <t>UMT</t>
  </si>
  <si>
    <t>BAT.GC MCQ3         0722A5403121521CO109</t>
  </si>
  <si>
    <t>BAT.GC UMT BT     722A5402065521CO2(3+3)</t>
  </si>
  <si>
    <r>
      <t>Oggetto:</t>
    </r>
    <r>
      <rPr>
        <sz val="10"/>
        <color theme="1"/>
        <rFont val="Segoe UI"/>
        <family val="2"/>
      </rPr>
      <t xml:space="preserve"> R: volumi batterie </t>
    </r>
  </si>
  <si>
    <t>SCM p/n</t>
  </si>
  <si>
    <t>Modine P/n</t>
  </si>
  <si>
    <t>Volume tot [l]</t>
  </si>
  <si>
    <t>B02332</t>
  </si>
  <si>
    <t>D96470</t>
  </si>
  <si>
    <t>D96523</t>
  </si>
  <si>
    <t>B00793</t>
  </si>
  <si>
    <t>D98836</t>
  </si>
  <si>
    <t>D97448</t>
  </si>
  <si>
    <t>D97749</t>
  </si>
  <si>
    <t>D97809</t>
  </si>
  <si>
    <t>D97273</t>
  </si>
  <si>
    <t>D97274</t>
  </si>
  <si>
    <t>UMT 036 MTDX</t>
  </si>
  <si>
    <t>UMT 075 MTDX</t>
  </si>
  <si>
    <t>UMT 120 MTDX</t>
  </si>
  <si>
    <t>UMT 150 MTDX</t>
  </si>
  <si>
    <t>UMT 190 MTDX</t>
  </si>
  <si>
    <t>UMT 030 BTDX</t>
  </si>
  <si>
    <t>UMT 035 BTDX</t>
  </si>
  <si>
    <t>UMT 036 BTDX</t>
  </si>
  <si>
    <t>UMT 120 BTDX</t>
  </si>
  <si>
    <t>Unit Model</t>
  </si>
  <si>
    <t>GC code</t>
  </si>
  <si>
    <t>GC description</t>
  </si>
  <si>
    <t>Fans</t>
  </si>
  <si>
    <t>GC volume (L)</t>
  </si>
  <si>
    <t>Note: Il modello del GC 4408210 NON è piu’ utilizzato</t>
  </si>
  <si>
    <t>25% carica residua nel GC (kg)</t>
  </si>
  <si>
    <t>Gas Cooler</t>
  </si>
  <si>
    <t>Liquid Line5/8" (120 bar K65)</t>
  </si>
  <si>
    <t>Liquid Line 7/8" (120 bar K65)</t>
  </si>
  <si>
    <t>Suction Line 7/8" (120 bar K65)</t>
  </si>
  <si>
    <t>Volume di refrigerante residuo nella suction: considerato l'8%  del volume del piping</t>
  </si>
  <si>
    <t>2. Using the drop down menu select the unit model</t>
  </si>
  <si>
    <r>
      <t>3. Using the drop down menu select the 15L or 37L receiver CUBO</t>
    </r>
    <r>
      <rPr>
        <vertAlign val="sub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Plus condensing unit</t>
    </r>
  </si>
  <si>
    <t>4. Enter your system pipe lengths in meters ensuring you select the correct sizes and pressure rating</t>
  </si>
  <si>
    <r>
      <t>5. Use the drop down menu to enter the evaporator charge as either kg's or of dm</t>
    </r>
    <r>
      <rPr>
        <vertAlign val="superscript"/>
        <sz val="10"/>
        <color theme="1"/>
        <rFont val="Calibri"/>
        <family val="2"/>
      </rPr>
      <t>3</t>
    </r>
    <r>
      <rPr>
        <sz val="10"/>
        <color theme="1"/>
        <rFont val="Calibri"/>
        <family val="2"/>
      </rPr>
      <t xml:space="preserve"> / litres - use the evaporators manufacturers information </t>
    </r>
  </si>
  <si>
    <t>6. The calculator will give a total charge and acceptable limits</t>
  </si>
  <si>
    <t>Volume max sicurezza ricevitore: 70%</t>
  </si>
  <si>
    <r>
      <t xml:space="preserve">Pumpdown from E2V    MUST BE </t>
    </r>
    <r>
      <rPr>
        <b/>
        <sz val="14"/>
        <color rgb="FFFF0000"/>
        <rFont val="Calibri"/>
        <family val="2"/>
      </rPr>
      <t>≤ 25kg for 37L and ≤ 10 for 15L</t>
    </r>
  </si>
  <si>
    <r>
      <rPr>
        <b/>
        <sz val="14"/>
        <color theme="1"/>
        <rFont val="Calibri"/>
        <family val="2"/>
      </rPr>
      <t>Pumpdown from CU Liquid Outlet</t>
    </r>
    <r>
      <rPr>
        <b/>
        <sz val="11"/>
        <color theme="1"/>
        <rFont val="Calibri"/>
        <family val="2"/>
      </rPr>
      <t xml:space="preserve"> </t>
    </r>
    <r>
      <rPr>
        <b/>
        <sz val="11"/>
        <color rgb="FFFF0000"/>
        <rFont val="Calibri"/>
        <family val="2"/>
      </rPr>
      <t>≤ 25kg for 37L and ≤ 10 for 15L - If not fit ball valves on branch lines</t>
    </r>
  </si>
  <si>
    <t>Oil approved: POE Reniso Fuchs C85E or Fuchs BSE 85 K</t>
  </si>
  <si>
    <t>Cubo2 Plus are precharged with Oil. Additional oil can be added according to how it is coming back from the evaporators</t>
  </si>
  <si>
    <r>
      <rPr>
        <b/>
        <sz val="22"/>
        <color theme="1"/>
        <rFont val="Calibri"/>
        <family val="2"/>
      </rPr>
      <t>Oil to Charge</t>
    </r>
    <r>
      <rPr>
        <b/>
        <sz val="11"/>
        <color theme="1"/>
        <rFont val="Calibri"/>
        <family val="2"/>
      </rPr>
      <t xml:space="preserve"> (POE)</t>
    </r>
  </si>
  <si>
    <t>Total evaporators volume</t>
  </si>
  <si>
    <t>v1.1 - First revision of Charge Calculator</t>
  </si>
  <si>
    <t>Standing Charge Liquid Receiver = 3Lt (sia per il 15 sia per il 37lt)</t>
  </si>
  <si>
    <t>37 Lt model is available just as an OPTION</t>
  </si>
  <si>
    <r>
      <t>CUBO</t>
    </r>
    <r>
      <rPr>
        <b/>
        <vertAlign val="subscript"/>
        <sz val="18"/>
        <color rgb="FFFF0000"/>
        <rFont val="Calibri"/>
        <family val="2"/>
      </rPr>
      <t>2</t>
    </r>
    <r>
      <rPr>
        <b/>
        <sz val="18"/>
        <color rgb="FFFF0000"/>
        <rFont val="Calibri"/>
        <family val="2"/>
      </rPr>
      <t xml:space="preserve"> PLUS Refrigerant Charge Calculator V 1.1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</si>
</sst>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8"/>
      <color rgb="FFFF0000"/>
      <name val="Calibri"/>
      <family val="2"/>
    </font>
    <font>
      <sz val="11"/>
      <name val="Arial"/>
      <family val="2"/>
    </font>
    <font>
      <b/>
      <sz val="2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0000"/>
      <name val="Calibri"/>
      <family val="2"/>
    </font>
    <font>
      <b/>
      <i/>
      <u val="single"/>
      <sz val="12"/>
      <color rgb="FF222A35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26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b/>
      <vertAlign val="subscript"/>
      <sz val="18"/>
      <color rgb="FFFF0000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vertAlign val="subscript"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vertAlign val="superscript"/>
      <sz val="11"/>
      <color theme="1"/>
      <name val="Arial"/>
      <family val="2"/>
    </font>
    <font>
      <sz val="8"/>
      <name val="Arial"/>
      <family val="2"/>
    </font>
    <font>
      <sz val="11"/>
      <color rgb="FF1F497D"/>
      <name val="Calibr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trike/>
      <sz val="11"/>
      <color rgb="FF000000"/>
      <name val="Calibri"/>
      <family val="2"/>
    </font>
    <font>
      <b/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DE9D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 style="double">
        <color rgb="FF000000"/>
      </top>
      <bottom style="double">
        <color rgb="FF000000"/>
      </bottom>
    </border>
    <border>
      <left/>
      <right style="thin"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8" fillId="0" borderId="0" xfId="0" applyFont="1"/>
    <xf numFmtId="0" fontId="4" fillId="3" borderId="6" xfId="0" applyFont="1" applyFill="1" applyBorder="1" applyAlignment="1">
      <alignment horizontal="center" vertical="center"/>
    </xf>
    <xf numFmtId="0" fontId="12" fillId="0" borderId="0" xfId="0" applyFont="1"/>
    <xf numFmtId="49" fontId="4" fillId="3" borderId="7" xfId="0" applyNumberFormat="1" applyFont="1" applyFill="1" applyBorder="1" applyAlignment="1">
      <alignment horizontal="center" wrapText="1"/>
    </xf>
    <xf numFmtId="49" fontId="4" fillId="3" borderId="6" xfId="0" applyNumberFormat="1" applyFont="1" applyFill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2" fontId="5" fillId="0" borderId="0" xfId="0" applyNumberFormat="1" applyFont="1"/>
    <xf numFmtId="0" fontId="5" fillId="0" borderId="8" xfId="0" applyFont="1" applyBorder="1" applyAlignment="1">
      <alignment horizontal="left" vertical="center"/>
    </xf>
    <xf numFmtId="2" fontId="14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10" fillId="5" borderId="7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/>
    <xf numFmtId="0" fontId="4" fillId="4" borderId="15" xfId="0" applyFont="1" applyFill="1" applyBorder="1"/>
    <xf numFmtId="0" fontId="0" fillId="6" borderId="16" xfId="0" applyFont="1" applyFill="1" applyBorder="1" applyAlignment="1">
      <alignment/>
    </xf>
    <xf numFmtId="0" fontId="5" fillId="0" borderId="1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23" fillId="5" borderId="7" xfId="0" applyFont="1" applyFill="1" applyBorder="1" applyAlignment="1" applyProtection="1">
      <alignment horizontal="center" vertical="center"/>
      <protection locked="0"/>
    </xf>
    <xf numFmtId="0" fontId="24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5" fillId="7" borderId="18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0" fontId="5" fillId="7" borderId="20" xfId="0" applyFont="1" applyFill="1" applyBorder="1"/>
    <xf numFmtId="0" fontId="5" fillId="7" borderId="18" xfId="0" applyFont="1" applyFill="1" applyBorder="1"/>
    <xf numFmtId="0" fontId="5" fillId="7" borderId="19" xfId="0" applyFont="1" applyFill="1" applyBorder="1"/>
    <xf numFmtId="0" fontId="21" fillId="7" borderId="18" xfId="0" applyFont="1" applyFill="1" applyBorder="1" applyAlignment="1">
      <alignment/>
    </xf>
    <xf numFmtId="0" fontId="5" fillId="7" borderId="19" xfId="0" applyFont="1" applyFill="1" applyBorder="1"/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1" xfId="0" applyFont="1" applyFill="1" applyBorder="1" applyAlignment="1">
      <alignment/>
    </xf>
    <xf numFmtId="0" fontId="0" fillId="6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/>
    <xf numFmtId="0" fontId="2" fillId="0" borderId="0" xfId="0" applyFont="1" applyAlignment="1">
      <alignment/>
    </xf>
    <xf numFmtId="49" fontId="26" fillId="0" borderId="0" xfId="0" applyNumberFormat="1" applyFont="1" applyAlignment="1">
      <alignment/>
    </xf>
    <xf numFmtId="0" fontId="5" fillId="0" borderId="17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" fillId="6" borderId="22" xfId="0" applyFont="1" applyFill="1" applyBorder="1" applyAlignment="1">
      <alignment/>
    </xf>
    <xf numFmtId="0" fontId="7" fillId="0" borderId="6" xfId="0" applyFont="1" applyBorder="1"/>
    <xf numFmtId="0" fontId="5" fillId="0" borderId="17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3" fillId="8" borderId="23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25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5" xfId="0" applyFont="1" applyBorder="1" applyAlignment="1">
      <alignment horizontal="right" vertical="center"/>
    </xf>
    <xf numFmtId="0" fontId="36" fillId="8" borderId="28" xfId="0" applyFont="1" applyFill="1" applyBorder="1" applyAlignment="1">
      <alignment horizontal="center" vertical="center"/>
    </xf>
    <xf numFmtId="0" fontId="36" fillId="8" borderId="26" xfId="0" applyFont="1" applyFill="1" applyBorder="1" applyAlignment="1">
      <alignment horizontal="center" vertical="center"/>
    </xf>
    <xf numFmtId="0" fontId="36" fillId="8" borderId="27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9" fillId="3" borderId="17" xfId="0" applyFont="1" applyFill="1" applyBorder="1" applyAlignment="1">
      <alignment horizontal="center" vertical="center"/>
    </xf>
    <xf numFmtId="0" fontId="7" fillId="0" borderId="6" xfId="0" applyFont="1" applyBorder="1"/>
    <xf numFmtId="0" fontId="11" fillId="3" borderId="17" xfId="0" applyFont="1" applyFill="1" applyBorder="1" applyAlignment="1">
      <alignment horizontal="center" vertical="center"/>
    </xf>
    <xf numFmtId="0" fontId="7" fillId="0" borderId="8" xfId="0" applyFont="1" applyBorder="1"/>
    <xf numFmtId="49" fontId="4" fillId="3" borderId="17" xfId="0" applyNumberFormat="1" applyFont="1" applyFill="1" applyBorder="1" applyAlignment="1">
      <alignment horizontal="left" wrapText="1"/>
    </xf>
    <xf numFmtId="0" fontId="4" fillId="3" borderId="1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/>
    <xf numFmtId="0" fontId="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5" xfId="0" applyFont="1" applyBorder="1"/>
    <xf numFmtId="0" fontId="5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1" fontId="37" fillId="4" borderId="9" xfId="0" applyNumberFormat="1" applyFont="1" applyFill="1" applyBorder="1" applyAlignment="1">
      <alignment horizontal="center" vertical="center" wrapText="1"/>
    </xf>
    <xf numFmtId="1" fontId="37" fillId="4" borderId="32" xfId="0" applyNumberFormat="1" applyFont="1" applyFill="1" applyBorder="1" applyAlignment="1">
      <alignment horizontal="center" vertical="center" wrapText="1"/>
    </xf>
    <xf numFmtId="14" fontId="5" fillId="7" borderId="33" xfId="0" applyNumberFormat="1" applyFont="1" applyFill="1" applyBorder="1"/>
    <xf numFmtId="0" fontId="4" fillId="3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6AA84F"/>
          <bgColor rgb="FF6AA84F"/>
        </patternFill>
      </fill>
      <border/>
    </dxf>
    <dxf>
      <font>
        <color theme="0"/>
      </font>
      <fill>
        <patternFill patternType="solid">
          <fgColor theme="9"/>
          <bgColor theme="9"/>
        </patternFill>
      </fill>
      <border/>
    </dxf>
    <dxf>
      <font>
        <color theme="0"/>
      </font>
      <fill>
        <patternFill patternType="solid">
          <fgColor rgb="FFFF0000"/>
          <bgColor rgb="FFFF0000"/>
        </patternFill>
      </fill>
      <border/>
    </dxf>
    <dxf>
      <font>
        <color theme="0"/>
      </font>
      <fill>
        <patternFill patternType="solid">
          <fgColor theme="9"/>
          <bgColor theme="9"/>
        </patternFill>
      </fill>
      <border/>
    </dxf>
    <dxf>
      <font>
        <color theme="0"/>
      </font>
      <fill>
        <patternFill patternType="solid">
          <fgColor rgb="FFFF0000"/>
          <bgColor rgb="FFFF0000"/>
        </patternFill>
      </fill>
      <border/>
    </dxf>
    <dxf>
      <font>
        <color theme="0"/>
      </font>
      <fill>
        <patternFill patternType="solid">
          <fgColor theme="9"/>
          <bgColor theme="9"/>
        </patternFill>
      </fill>
      <border/>
    </dxf>
    <dxf>
      <font>
        <color theme="0"/>
      </font>
      <fill>
        <patternFill patternType="solid">
          <fgColor rgb="FFFF00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9"/>
  <sheetViews>
    <sheetView showGridLines="0" tabSelected="1" workbookViewId="0" topLeftCell="A1">
      <selection activeCell="C35" sqref="C35"/>
    </sheetView>
  </sheetViews>
  <sheetFormatPr defaultColWidth="12.625" defaultRowHeight="15" customHeight="1"/>
  <cols>
    <col min="1" max="1" width="3.00390625" style="0" customWidth="1"/>
    <col min="2" max="2" width="2.75390625" style="0" customWidth="1"/>
    <col min="3" max="3" width="33.25390625" style="0" customWidth="1"/>
    <col min="4" max="4" width="9.25390625" style="0" customWidth="1"/>
    <col min="5" max="5" width="24.25390625" style="0" customWidth="1"/>
    <col min="6" max="6" width="21.125" style="0" customWidth="1"/>
    <col min="7" max="7" width="2.625" style="0" customWidth="1"/>
    <col min="8" max="8" width="4.00390625" style="0" customWidth="1"/>
    <col min="9" max="10" width="7.625" style="0" customWidth="1"/>
    <col min="11" max="11" width="14.25390625" style="0" bestFit="1" customWidth="1"/>
    <col min="12" max="26" width="7.625" style="0" customWidth="1"/>
  </cols>
  <sheetData>
    <row r="1" ht="14.25" customHeight="1"/>
    <row r="2" spans="2:7" ht="14.25" customHeight="1">
      <c r="B2" s="2"/>
      <c r="C2" s="3"/>
      <c r="D2" s="3"/>
      <c r="E2" s="3"/>
      <c r="F2" s="3"/>
      <c r="G2" s="4"/>
    </row>
    <row r="3" spans="2:10" ht="43.95" customHeight="1">
      <c r="B3" s="5"/>
      <c r="C3" s="95" t="s">
        <v>99</v>
      </c>
      <c r="D3" s="96"/>
      <c r="E3" s="96"/>
      <c r="F3" s="97"/>
      <c r="G3" s="6"/>
      <c r="J3" s="7" t="s">
        <v>7</v>
      </c>
    </row>
    <row r="4" spans="2:7" ht="22.5" customHeight="1">
      <c r="B4" s="5"/>
      <c r="C4" s="89" t="s">
        <v>31</v>
      </c>
      <c r="D4" s="90"/>
      <c r="E4" s="31" t="s">
        <v>66</v>
      </c>
      <c r="F4" s="8"/>
      <c r="G4" s="6"/>
    </row>
    <row r="5" spans="2:10" ht="28.2" customHeight="1">
      <c r="B5" s="5"/>
      <c r="C5" s="89" t="s">
        <v>8</v>
      </c>
      <c r="D5" s="90"/>
      <c r="E5" s="31" t="s">
        <v>40</v>
      </c>
      <c r="F5" s="116" t="s">
        <v>98</v>
      </c>
      <c r="G5" s="6"/>
      <c r="J5" s="7" t="s">
        <v>9</v>
      </c>
    </row>
    <row r="6" spans="2:10" ht="22.5" customHeight="1">
      <c r="B6" s="5"/>
      <c r="C6" s="91" t="s">
        <v>10</v>
      </c>
      <c r="D6" s="92"/>
      <c r="E6" s="92"/>
      <c r="F6" s="90"/>
      <c r="G6" s="6"/>
      <c r="J6" s="9" t="s">
        <v>11</v>
      </c>
    </row>
    <row r="7" spans="2:7" ht="14.25" customHeight="1">
      <c r="B7" s="5"/>
      <c r="C7" s="93" t="s">
        <v>12</v>
      </c>
      <c r="D7" s="90"/>
      <c r="E7" s="10" t="s">
        <v>13</v>
      </c>
      <c r="F7" s="11" t="s">
        <v>14</v>
      </c>
      <c r="G7" s="6"/>
    </row>
    <row r="8" spans="2:15" ht="14.25" customHeight="1">
      <c r="B8" s="5"/>
      <c r="C8" s="94" t="s">
        <v>15</v>
      </c>
      <c r="D8" s="92"/>
      <c r="E8" s="92"/>
      <c r="F8" s="90"/>
      <c r="G8" s="6"/>
      <c r="J8" s="43" t="s">
        <v>16</v>
      </c>
      <c r="K8" s="44"/>
      <c r="L8" s="44"/>
      <c r="M8" s="45"/>
      <c r="N8" s="45"/>
      <c r="O8" s="45"/>
    </row>
    <row r="9" spans="2:15" ht="14.25" customHeight="1">
      <c r="B9" s="5"/>
      <c r="C9" s="98" t="s">
        <v>17</v>
      </c>
      <c r="D9" s="90"/>
      <c r="E9" s="37"/>
      <c r="F9" s="12">
        <f>E9*0.0455</f>
        <v>0</v>
      </c>
      <c r="G9" s="6"/>
      <c r="J9" s="43" t="s">
        <v>84</v>
      </c>
      <c r="O9" s="45"/>
    </row>
    <row r="10" spans="2:15" ht="14.25" customHeight="1">
      <c r="B10" s="5"/>
      <c r="C10" s="98" t="s">
        <v>18</v>
      </c>
      <c r="D10" s="90"/>
      <c r="E10" s="37"/>
      <c r="F10" s="12">
        <f>E10*0.0814</f>
        <v>0</v>
      </c>
      <c r="G10" s="6"/>
      <c r="J10" s="43" t="s">
        <v>85</v>
      </c>
      <c r="K10" s="44"/>
      <c r="L10" s="44"/>
      <c r="M10" s="45"/>
      <c r="N10" s="45"/>
      <c r="O10" s="45"/>
    </row>
    <row r="11" spans="2:15" s="68" customFormat="1" ht="14.25" customHeight="1">
      <c r="B11" s="5"/>
      <c r="C11" s="71" t="s">
        <v>80</v>
      </c>
      <c r="D11" s="70"/>
      <c r="E11" s="37"/>
      <c r="F11" s="12">
        <f>E11*0.143</f>
        <v>0</v>
      </c>
      <c r="G11" s="6"/>
      <c r="J11" s="43" t="s">
        <v>86</v>
      </c>
      <c r="K11" s="44"/>
      <c r="L11" s="44"/>
      <c r="M11" s="45"/>
      <c r="N11" s="45"/>
      <c r="O11" s="45"/>
    </row>
    <row r="12" spans="2:15" s="68" customFormat="1" ht="14.25" customHeight="1">
      <c r="B12" s="5"/>
      <c r="C12" s="98" t="s">
        <v>81</v>
      </c>
      <c r="D12" s="90"/>
      <c r="E12" s="37"/>
      <c r="F12" s="12">
        <f>E12*0.279</f>
        <v>0</v>
      </c>
      <c r="G12" s="6"/>
      <c r="J12" s="43"/>
      <c r="K12" s="44"/>
      <c r="L12" s="44"/>
      <c r="M12" s="45"/>
      <c r="N12" s="45"/>
      <c r="O12" s="45"/>
    </row>
    <row r="13" spans="2:15" ht="23.4">
      <c r="B13" s="5"/>
      <c r="C13" s="99" t="s">
        <v>19</v>
      </c>
      <c r="D13" s="92"/>
      <c r="E13" s="90"/>
      <c r="F13" s="13">
        <f>SUM(F9:F12)</f>
        <v>0</v>
      </c>
      <c r="G13" s="6"/>
      <c r="J13" s="46" t="s">
        <v>87</v>
      </c>
      <c r="K13" s="44"/>
      <c r="L13" s="44"/>
      <c r="M13" s="45"/>
      <c r="N13" s="45"/>
      <c r="O13" s="45"/>
    </row>
    <row r="14" spans="2:14" ht="14.25" customHeight="1">
      <c r="B14" s="5"/>
      <c r="C14" s="100"/>
      <c r="D14" s="92"/>
      <c r="E14" s="92"/>
      <c r="F14" s="90"/>
      <c r="G14" s="6"/>
      <c r="J14" s="43" t="s">
        <v>88</v>
      </c>
      <c r="K14" s="45"/>
      <c r="L14" s="45"/>
      <c r="M14" s="45"/>
      <c r="N14" s="45"/>
    </row>
    <row r="15" spans="2:12" ht="14.25" customHeight="1">
      <c r="B15" s="5"/>
      <c r="C15" s="94" t="s">
        <v>20</v>
      </c>
      <c r="D15" s="92"/>
      <c r="E15" s="92"/>
      <c r="F15" s="90"/>
      <c r="G15" s="6"/>
      <c r="J15" s="66"/>
      <c r="K15" s="63"/>
      <c r="L15" s="63"/>
    </row>
    <row r="16" spans="2:12" ht="14.25" customHeight="1">
      <c r="B16" s="5"/>
      <c r="C16" s="98" t="s">
        <v>21</v>
      </c>
      <c r="D16" s="90"/>
      <c r="E16" s="37"/>
      <c r="F16" s="12">
        <f>E16*0.0037</f>
        <v>0</v>
      </c>
      <c r="G16" s="6"/>
      <c r="J16" s="64"/>
      <c r="K16" s="63"/>
      <c r="L16" s="63"/>
    </row>
    <row r="17" spans="2:12" ht="14.25" customHeight="1">
      <c r="B17" s="5"/>
      <c r="C17" s="98" t="s">
        <v>22</v>
      </c>
      <c r="D17" s="92"/>
      <c r="E17" s="37"/>
      <c r="F17" s="12">
        <f>E17*0.0066</f>
        <v>0</v>
      </c>
      <c r="G17" s="6"/>
      <c r="H17" s="14"/>
      <c r="J17" s="63"/>
      <c r="K17" s="63"/>
      <c r="L17" s="63"/>
    </row>
    <row r="18" spans="2:12" s="68" customFormat="1" ht="14.25" customHeight="1">
      <c r="B18" s="5"/>
      <c r="C18" s="67" t="s">
        <v>23</v>
      </c>
      <c r="D18" s="15"/>
      <c r="E18" s="37"/>
      <c r="F18" s="12">
        <f>E18*0.0104</f>
        <v>0</v>
      </c>
      <c r="G18" s="6"/>
      <c r="H18" s="14"/>
      <c r="J18" s="63"/>
      <c r="K18" s="63"/>
      <c r="L18" s="63"/>
    </row>
    <row r="19" spans="2:12" ht="14.25" customHeight="1">
      <c r="B19" s="5"/>
      <c r="C19" s="35" t="s">
        <v>82</v>
      </c>
      <c r="D19" s="15"/>
      <c r="E19" s="37"/>
      <c r="F19" s="12">
        <f>E19*0.0223</f>
        <v>0</v>
      </c>
      <c r="G19" s="6"/>
      <c r="H19" s="14"/>
      <c r="J19" s="63"/>
      <c r="K19" s="63"/>
      <c r="L19" s="63"/>
    </row>
    <row r="20" spans="2:23" ht="23.4">
      <c r="B20" s="5"/>
      <c r="C20" s="99" t="s">
        <v>24</v>
      </c>
      <c r="D20" s="92"/>
      <c r="E20" s="90"/>
      <c r="F20" s="13">
        <f>SUM(F16:F19)</f>
        <v>0</v>
      </c>
      <c r="G20" s="6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</row>
    <row r="21" spans="2:23" ht="14.25" customHeight="1">
      <c r="B21" s="5"/>
      <c r="C21" s="100"/>
      <c r="D21" s="92"/>
      <c r="E21" s="92"/>
      <c r="F21" s="90"/>
      <c r="G21" s="6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</row>
    <row r="22" spans="2:23" ht="14.25" customHeight="1">
      <c r="B22" s="5"/>
      <c r="C22" s="94" t="s">
        <v>25</v>
      </c>
      <c r="D22" s="92"/>
      <c r="E22" s="92"/>
      <c r="F22" s="90"/>
      <c r="G22" s="6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</row>
    <row r="23" spans="2:23" ht="14.25" customHeight="1">
      <c r="B23" s="5"/>
      <c r="C23" s="98" t="s">
        <v>26</v>
      </c>
      <c r="D23" s="92"/>
      <c r="E23" s="90"/>
      <c r="F23" s="12">
        <f>IF(E5="15 L",3,3)</f>
        <v>3</v>
      </c>
      <c r="G23" s="6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</row>
    <row r="24" spans="2:23" ht="14.25" customHeight="1">
      <c r="B24" s="5"/>
      <c r="C24" s="98" t="s">
        <v>79</v>
      </c>
      <c r="D24" s="92"/>
      <c r="E24" s="90"/>
      <c r="F24" s="16">
        <f>IF(E4="UMT 075 MTDX",1.9,IF(E4="UMT 120 MTDX",1.9,IF(E4="UMT 036 MTDX",1.9,IF(E4="UMT 150 MTDX",2.475,IF(E4="UMT 190 MTDX",2.475,1.15)))))</f>
        <v>2.475</v>
      </c>
      <c r="G24" s="6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</row>
    <row r="25" spans="2:23" ht="23.4">
      <c r="B25" s="5"/>
      <c r="C25" s="99" t="s">
        <v>27</v>
      </c>
      <c r="D25" s="92"/>
      <c r="E25" s="90"/>
      <c r="F25" s="13">
        <f>F24+F23</f>
        <v>5.475</v>
      </c>
      <c r="G25" s="6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</row>
    <row r="26" spans="2:23" ht="14.25" customHeight="1">
      <c r="B26" s="5"/>
      <c r="C26" s="100"/>
      <c r="D26" s="92"/>
      <c r="E26" s="92"/>
      <c r="F26" s="90"/>
      <c r="G26" s="6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</row>
    <row r="27" spans="2:23" ht="14.25" customHeight="1">
      <c r="B27" s="5"/>
      <c r="C27" s="94" t="s">
        <v>28</v>
      </c>
      <c r="D27" s="92"/>
      <c r="E27" s="92"/>
      <c r="F27" s="90"/>
      <c r="G27" s="6"/>
      <c r="H27" s="54"/>
      <c r="I27" s="54"/>
      <c r="M27" s="63"/>
      <c r="N27" s="63"/>
      <c r="O27" s="63"/>
      <c r="P27" s="63"/>
      <c r="Q27" s="63"/>
      <c r="R27" s="54"/>
      <c r="S27" s="54"/>
      <c r="T27" s="54"/>
      <c r="U27" s="54"/>
      <c r="V27" s="54"/>
      <c r="W27" s="54"/>
    </row>
    <row r="28" spans="2:23" ht="14.25" customHeight="1">
      <c r="B28" s="5"/>
      <c r="C28" s="17" t="s">
        <v>95</v>
      </c>
      <c r="D28" s="38" t="s">
        <v>3</v>
      </c>
      <c r="E28" s="37"/>
      <c r="F28" s="18">
        <f>(IF(D28="dm3 (Litres)",(E28/1000*300.13),E28))</f>
        <v>0</v>
      </c>
      <c r="G28" s="6"/>
      <c r="H28" s="54"/>
      <c r="I28" s="55"/>
      <c r="M28" s="63"/>
      <c r="N28" s="63"/>
      <c r="O28" s="63"/>
      <c r="P28" s="63"/>
      <c r="Q28" s="63"/>
      <c r="R28" s="54"/>
      <c r="S28" s="54"/>
      <c r="T28" s="54"/>
      <c r="U28" s="54"/>
      <c r="V28" s="54"/>
      <c r="W28" s="54"/>
    </row>
    <row r="29" spans="2:23" ht="23.4">
      <c r="B29" s="5"/>
      <c r="C29" s="99" t="s">
        <v>29</v>
      </c>
      <c r="D29" s="92"/>
      <c r="E29" s="90"/>
      <c r="F29" s="19">
        <f>SUM(F28:F28)</f>
        <v>0</v>
      </c>
      <c r="G29" s="6"/>
      <c r="H29" s="54"/>
      <c r="I29" s="54"/>
      <c r="M29" s="63"/>
      <c r="N29" s="63"/>
      <c r="O29" s="63"/>
      <c r="P29" s="63"/>
      <c r="Q29" s="63"/>
      <c r="R29" s="54"/>
      <c r="S29" s="54"/>
      <c r="T29" s="54"/>
      <c r="U29" s="54"/>
      <c r="V29" s="54"/>
      <c r="W29" s="54"/>
    </row>
    <row r="30" spans="2:23" ht="14.25" customHeight="1">
      <c r="B30" s="5"/>
      <c r="C30" s="101"/>
      <c r="D30" s="102"/>
      <c r="E30" s="102"/>
      <c r="F30" s="103"/>
      <c r="G30" s="6"/>
      <c r="H30" s="54"/>
      <c r="I30" s="54"/>
      <c r="M30" s="63"/>
      <c r="N30" s="63"/>
      <c r="O30" s="63"/>
      <c r="P30" s="63"/>
      <c r="Q30" s="63"/>
      <c r="R30" s="54"/>
      <c r="S30" s="54"/>
      <c r="T30" s="54"/>
      <c r="U30" s="54"/>
      <c r="V30" s="54"/>
      <c r="W30" s="54"/>
    </row>
    <row r="31" spans="2:23" ht="14.25" customHeight="1">
      <c r="B31" s="5"/>
      <c r="C31" s="104"/>
      <c r="D31" s="105"/>
      <c r="E31" s="105"/>
      <c r="F31" s="106"/>
      <c r="G31" s="6"/>
      <c r="H31" s="54"/>
      <c r="I31" s="54"/>
      <c r="J31" s="63"/>
      <c r="K31" s="63"/>
      <c r="L31" s="63"/>
      <c r="M31" s="63"/>
      <c r="N31" s="63"/>
      <c r="O31" s="63"/>
      <c r="P31" s="63"/>
      <c r="Q31" s="63"/>
      <c r="R31" s="54"/>
      <c r="S31" s="54"/>
      <c r="T31" s="54"/>
      <c r="U31" s="54"/>
      <c r="V31" s="54"/>
      <c r="W31" s="54"/>
    </row>
    <row r="32" spans="2:23" ht="49.2">
      <c r="B32" s="5"/>
      <c r="C32" s="20" t="s">
        <v>30</v>
      </c>
      <c r="D32" s="21" t="s">
        <v>14</v>
      </c>
      <c r="E32" s="21">
        <f>F29+F25+F20+F13</f>
        <v>5.475</v>
      </c>
      <c r="F32" s="40" t="str">
        <f>IF($E$5="37 L",(IF(E34&gt;25,"Stop! Charge Exceeded","ok")),(IF(E34&gt;10,"!","ok")))</f>
        <v>ok</v>
      </c>
      <c r="G32" s="6"/>
      <c r="H32" s="54"/>
      <c r="I32" s="54"/>
      <c r="J32" s="63"/>
      <c r="K32" s="63"/>
      <c r="L32" s="63"/>
      <c r="M32" s="63"/>
      <c r="N32" s="63"/>
      <c r="O32" s="63"/>
      <c r="P32" s="63"/>
      <c r="Q32" s="63"/>
      <c r="R32" s="54"/>
      <c r="S32" s="54"/>
      <c r="T32" s="55"/>
      <c r="U32" s="54"/>
      <c r="V32" s="54"/>
      <c r="W32" s="54"/>
    </row>
    <row r="33" spans="2:23" ht="14.25" customHeight="1">
      <c r="B33" s="5"/>
      <c r="C33" s="107"/>
      <c r="D33" s="108"/>
      <c r="E33" s="108"/>
      <c r="F33" s="109"/>
      <c r="G33" s="6"/>
      <c r="H33" s="54"/>
      <c r="I33" s="54"/>
      <c r="J33" s="63"/>
      <c r="K33" s="63"/>
      <c r="L33" s="63"/>
      <c r="M33" s="63"/>
      <c r="N33" s="63"/>
      <c r="O33" s="63"/>
      <c r="P33" s="63"/>
      <c r="Q33" s="63"/>
      <c r="R33" s="54"/>
      <c r="S33" s="54"/>
      <c r="T33" s="54"/>
      <c r="U33" s="54"/>
      <c r="V33" s="54"/>
      <c r="W33" s="54"/>
    </row>
    <row r="34" spans="2:23" ht="36">
      <c r="B34" s="5"/>
      <c r="C34" s="22" t="s">
        <v>90</v>
      </c>
      <c r="D34" s="21" t="s">
        <v>14</v>
      </c>
      <c r="E34" s="21">
        <f>F29+F23+F20</f>
        <v>3</v>
      </c>
      <c r="F34" s="39" t="str">
        <f>IF($E$5="37 L",(IF(E34&gt;25,"Not Allowed! Must be ≤ 25kg","ok")),(IF(E34&gt;10,"Not Allowed! Must be ≤ 10kg","ok")))</f>
        <v>ok</v>
      </c>
      <c r="G34" s="6"/>
      <c r="H34" s="54"/>
      <c r="I34" s="54"/>
      <c r="J34" s="63"/>
      <c r="K34" s="63"/>
      <c r="L34" s="63"/>
      <c r="M34" s="63"/>
      <c r="N34" s="63"/>
      <c r="O34" s="63"/>
      <c r="P34" s="63"/>
      <c r="Q34" s="63"/>
      <c r="R34" s="54"/>
      <c r="S34" s="54"/>
      <c r="T34" s="54"/>
      <c r="U34" s="54"/>
      <c r="V34" s="54"/>
      <c r="W34" s="54"/>
    </row>
    <row r="35" spans="2:23" ht="50.4">
      <c r="B35" s="5"/>
      <c r="C35" s="23" t="s">
        <v>91</v>
      </c>
      <c r="D35" s="21" t="s">
        <v>14</v>
      </c>
      <c r="E35" s="21">
        <f>F29+F23+F20+F13</f>
        <v>3</v>
      </c>
      <c r="F35" s="39" t="str">
        <f>IF($E$5="37 L",(IF(E35&gt;25,"Fit ball valves on branch lines","ok")),(IF(E35&gt;10,"Fit ball valves on branch lines","ok")))</f>
        <v>ok</v>
      </c>
      <c r="G35" s="6"/>
      <c r="H35" s="54"/>
      <c r="I35" s="54"/>
      <c r="J35" s="63"/>
      <c r="K35" s="63"/>
      <c r="L35" s="63"/>
      <c r="M35" s="63"/>
      <c r="N35" s="63"/>
      <c r="O35" s="63"/>
      <c r="P35" s="63"/>
      <c r="Q35" s="63"/>
      <c r="R35" s="54"/>
      <c r="S35" s="54"/>
      <c r="T35" s="54"/>
      <c r="U35" s="54"/>
      <c r="V35" s="54"/>
      <c r="W35" s="54"/>
    </row>
    <row r="36" spans="2:17" ht="21" customHeight="1" thickBot="1" thickTop="1">
      <c r="B36" s="5"/>
      <c r="C36" s="24"/>
      <c r="D36" s="25"/>
      <c r="E36" s="25"/>
      <c r="F36" s="26"/>
      <c r="G36" s="6"/>
      <c r="J36" s="65"/>
      <c r="K36" s="65"/>
      <c r="L36" s="65"/>
      <c r="M36" s="65"/>
      <c r="N36" s="65"/>
      <c r="O36" s="65"/>
      <c r="P36" s="65"/>
      <c r="Q36" s="65"/>
    </row>
    <row r="37" spans="2:7" ht="66.75" customHeight="1" thickBot="1" thickTop="1">
      <c r="B37" s="5"/>
      <c r="C37" s="23" t="s">
        <v>94</v>
      </c>
      <c r="D37" s="113" t="s">
        <v>93</v>
      </c>
      <c r="E37" s="114"/>
      <c r="F37" s="27" t="s">
        <v>92</v>
      </c>
      <c r="G37" s="6"/>
    </row>
    <row r="38" spans="2:7" ht="14.25" customHeight="1" thickTop="1">
      <c r="B38" s="5"/>
      <c r="C38" s="110"/>
      <c r="D38" s="111"/>
      <c r="E38" s="111"/>
      <c r="F38" s="112"/>
      <c r="G38" s="6"/>
    </row>
    <row r="39" spans="2:7" ht="14.25" customHeight="1">
      <c r="B39" s="28"/>
      <c r="C39" s="29"/>
      <c r="D39" s="29"/>
      <c r="E39" s="29"/>
      <c r="F39" s="29"/>
      <c r="G39" s="30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</sheetData>
  <sheetProtection algorithmName="SHA-512" hashValue="xB+ELa4yEFuccHVy5HCRRX7+6szUV47qkkD6WxNzcpE2QaLAdvweF4XHMfuIbPjFb4/xS9PBhgsXo2pkbgUJeQ==" saltValue="6fz0g+HgeO0fqAhaLD9bsw==" spinCount="100000" sheet="1" objects="1" scenarios="1"/>
  <mergeCells count="27">
    <mergeCell ref="C29:E29"/>
    <mergeCell ref="C30:F31"/>
    <mergeCell ref="C33:F33"/>
    <mergeCell ref="C38:F38"/>
    <mergeCell ref="C20:E20"/>
    <mergeCell ref="C21:F21"/>
    <mergeCell ref="C22:F22"/>
    <mergeCell ref="C23:E23"/>
    <mergeCell ref="C24:E24"/>
    <mergeCell ref="C25:E25"/>
    <mergeCell ref="C26:F26"/>
    <mergeCell ref="D37:E37"/>
    <mergeCell ref="C15:F15"/>
    <mergeCell ref="C16:D16"/>
    <mergeCell ref="C17:D17"/>
    <mergeCell ref="C27:F27"/>
    <mergeCell ref="C9:D9"/>
    <mergeCell ref="C10:D10"/>
    <mergeCell ref="C13:E13"/>
    <mergeCell ref="C14:F14"/>
    <mergeCell ref="C12:D12"/>
    <mergeCell ref="C5:D5"/>
    <mergeCell ref="C6:F6"/>
    <mergeCell ref="C7:D7"/>
    <mergeCell ref="C8:F8"/>
    <mergeCell ref="C3:F3"/>
    <mergeCell ref="C4:D4"/>
  </mergeCells>
  <conditionalFormatting sqref="F34">
    <cfRule type="containsText" priority="1" dxfId="3" operator="containsText" text="Not allowed">
      <formula>NOT(ISERROR(SEARCH(("Not allowed"),(F34))))</formula>
    </cfRule>
  </conditionalFormatting>
  <conditionalFormatting sqref="F34">
    <cfRule type="containsText" priority="2" dxfId="2" operator="containsText" text="ok">
      <formula>NOT(ISERROR(SEARCH(("ok"),(F34))))</formula>
    </cfRule>
  </conditionalFormatting>
  <conditionalFormatting sqref="F35:F36">
    <cfRule type="containsText" priority="3" dxfId="3" operator="containsText" text="Fit ball">
      <formula>NOT(ISERROR(SEARCH(("Fit ball"),(F35))))</formula>
    </cfRule>
  </conditionalFormatting>
  <conditionalFormatting sqref="F35:F36">
    <cfRule type="containsText" priority="4" dxfId="2" operator="containsText" text="ok">
      <formula>NOT(ISERROR(SEARCH(("ok"),(F35))))</formula>
    </cfRule>
  </conditionalFormatting>
  <conditionalFormatting sqref="F37">
    <cfRule type="containsText" priority="5" dxfId="3" operator="containsText" text="Fit ball">
      <formula>NOT(ISERROR(SEARCH(("Fit ball"),(F37))))</formula>
    </cfRule>
  </conditionalFormatting>
  <conditionalFormatting sqref="F37">
    <cfRule type="containsText" priority="6" dxfId="2" operator="containsText" text="ok">
      <formula>NOT(ISERROR(SEARCH(("ok"),(F37))))</formula>
    </cfRule>
  </conditionalFormatting>
  <conditionalFormatting sqref="F32">
    <cfRule type="containsText" priority="7" dxfId="1" operator="containsText" text="ok">
      <formula>NOT(ISERROR(SEARCH(("ok"),(F32))))</formula>
    </cfRule>
  </conditionalFormatting>
  <conditionalFormatting sqref="F32">
    <cfRule type="containsText" priority="8" dxfId="0" operator="containsText" text="!">
      <formula>NOT(ISERROR(SEARCH(("!"),(F32))))</formula>
    </cfRule>
  </conditionalFormatting>
  <dataValidations count="3">
    <dataValidation type="list" allowBlank="1" showErrorMessage="1" sqref="D28">
      <formula1>Reserved!$C$4:$C$5</formula1>
    </dataValidation>
    <dataValidation type="list" allowBlank="1" showErrorMessage="1" sqref="E5">
      <formula1>Reserved!$B$4:$B$5</formula1>
    </dataValidation>
    <dataValidation type="list" allowBlank="1" showInputMessage="1" showErrorMessage="1" sqref="E4">
      <formula1>Reserved!$E$3:$E$11</formula1>
    </dataValidation>
  </dataValidations>
  <printOptions/>
  <pageMargins left="0.7" right="0.7" top="0.75" bottom="0.7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workbookViewId="0" topLeftCell="A1">
      <selection activeCell="D6" sqref="D6"/>
    </sheetView>
  </sheetViews>
  <sheetFormatPr defaultColWidth="12.625" defaultRowHeight="15" customHeight="1"/>
  <cols>
    <col min="1" max="1" width="2.625" style="0" customWidth="1"/>
    <col min="2" max="2" width="65.875" style="0" bestFit="1" customWidth="1"/>
    <col min="3" max="3" width="12.875" style="0" customWidth="1"/>
    <col min="4" max="4" width="7.625" style="0" customWidth="1"/>
    <col min="5" max="5" width="14.25390625" style="0" bestFit="1" customWidth="1"/>
    <col min="6" max="7" width="6.875" style="0" bestFit="1" customWidth="1"/>
    <col min="8" max="8" width="7.625" style="0" customWidth="1"/>
    <col min="9" max="9" width="5.625" style="0" bestFit="1" customWidth="1"/>
    <col min="10" max="26" width="7.625" style="0" customWidth="1"/>
  </cols>
  <sheetData>
    <row r="1" ht="14.25" customHeight="1"/>
    <row r="2" spans="2:3" ht="14.25" customHeight="1">
      <c r="B2" s="32" t="s">
        <v>1</v>
      </c>
      <c r="C2" s="33"/>
    </row>
    <row r="3" spans="2:3" ht="14.25" customHeight="1">
      <c r="B3" s="49" t="s">
        <v>96</v>
      </c>
      <c r="C3" s="115">
        <v>44372</v>
      </c>
    </row>
    <row r="4" spans="2:3" ht="14.25" customHeight="1">
      <c r="B4" s="50"/>
      <c r="C4" s="51"/>
    </row>
    <row r="5" spans="2:3" ht="14.25" customHeight="1">
      <c r="B5" s="50"/>
      <c r="C5" s="51"/>
    </row>
    <row r="6" spans="2:3" ht="14.25" customHeight="1">
      <c r="B6" s="50"/>
      <c r="C6" s="51"/>
    </row>
    <row r="7" spans="2:3" ht="14.25" customHeight="1">
      <c r="B7" s="50"/>
      <c r="C7" s="51"/>
    </row>
    <row r="8" spans="2:3" ht="14.25" customHeight="1">
      <c r="B8" s="50"/>
      <c r="C8" s="51"/>
    </row>
    <row r="9" spans="2:3" ht="14.25" customHeight="1">
      <c r="B9" s="50"/>
      <c r="C9" s="51"/>
    </row>
    <row r="10" spans="2:3" ht="14.25" customHeight="1">
      <c r="B10" s="50"/>
      <c r="C10" s="51"/>
    </row>
    <row r="11" spans="2:3" ht="14.25" customHeight="1">
      <c r="B11" s="52"/>
      <c r="C11" s="53"/>
    </row>
    <row r="12" spans="2:3" s="36" customFormat="1" ht="14.25" customHeight="1">
      <c r="B12" s="52"/>
      <c r="C12" s="53"/>
    </row>
    <row r="13" spans="2:3" ht="14.25" customHeight="1">
      <c r="B13" s="47"/>
      <c r="C13" s="48"/>
    </row>
    <row r="14" spans="2:3" ht="14.25" customHeight="1">
      <c r="B14" s="69"/>
      <c r="C14" s="34"/>
    </row>
    <row r="15" ht="14.25" customHeight="1"/>
    <row r="16" ht="14.25" customHeight="1"/>
    <row r="17" spans="5:9" ht="14.25" customHeight="1">
      <c r="E17" s="58"/>
      <c r="F17" s="60">
        <v>-5</v>
      </c>
      <c r="G17" s="60">
        <v>-10</v>
      </c>
      <c r="H17" s="60">
        <v>-30</v>
      </c>
      <c r="I17" s="58"/>
    </row>
    <row r="18" spans="5:9" ht="14.25" customHeight="1">
      <c r="E18" s="59" t="s">
        <v>37</v>
      </c>
      <c r="F18" s="56">
        <v>523.4</v>
      </c>
      <c r="G18" s="56">
        <v>388.6</v>
      </c>
      <c r="H18" s="56">
        <v>151</v>
      </c>
      <c r="I18" s="59" t="s">
        <v>38</v>
      </c>
    </row>
    <row r="19" spans="5:9" ht="14.25" customHeight="1">
      <c r="E19" s="59" t="s">
        <v>35</v>
      </c>
      <c r="F19" s="56">
        <v>76.86</v>
      </c>
      <c r="G19" s="57">
        <v>66.12</v>
      </c>
      <c r="H19" s="56">
        <v>35.07</v>
      </c>
      <c r="I19" s="59" t="s">
        <v>38</v>
      </c>
    </row>
    <row r="20" spans="5:9" ht="14.25" customHeight="1">
      <c r="E20" s="59" t="s">
        <v>36</v>
      </c>
      <c r="F20" s="56">
        <f>AVERAGE(F18:F19)</f>
        <v>300.13</v>
      </c>
      <c r="G20" s="56">
        <f>AVERAGE(G18:G19)</f>
        <v>227.36</v>
      </c>
      <c r="H20" s="56">
        <f>AVERAGE(H18:H19)</f>
        <v>93.035</v>
      </c>
      <c r="I20" s="59" t="s">
        <v>38</v>
      </c>
    </row>
    <row r="21" ht="14.25" customHeight="1"/>
    <row r="22" spans="5:6" ht="14.25" customHeight="1">
      <c r="E22" s="61" t="s">
        <v>39</v>
      </c>
      <c r="F22" s="6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sheetProtection algorithmName="SHA-512" hashValue="hlpU7dLUXNiavsjShkpNWjARTti+MWDgSyEqo37mwkXOXfaK7cHH5CCCUMYNldhJwVDUBPuhW5+Jk76sFrHV5Q==" saltValue="q4Ocbhu421fy+DBB2rarug==" spinCount="100000" sheet="1" objects="1" scenarios="1"/>
  <printOptions/>
  <pageMargins left="0.7" right="0.7" top="0.75" bottom="0.75" header="0" footer="0"/>
  <pageSetup horizontalDpi="600" verticalDpi="600" orientation="landscape"/>
  <ignoredErrors>
    <ignoredError sqref="F20:H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showGridLines="0" workbookViewId="0" topLeftCell="A1">
      <selection activeCell="J5" sqref="J5"/>
    </sheetView>
  </sheetViews>
  <sheetFormatPr defaultColWidth="12.625" defaultRowHeight="15" customHeight="1"/>
  <cols>
    <col min="1" max="1" width="7.625" style="0" customWidth="1"/>
    <col min="2" max="2" width="40.00390625" style="0" customWidth="1"/>
    <col min="3" max="3" width="13.50390625" style="0" customWidth="1"/>
    <col min="4" max="4" width="40.25390625" style="0" customWidth="1"/>
    <col min="5" max="5" width="16.75390625" style="0" customWidth="1"/>
    <col min="6" max="6" width="11.125" style="0" customWidth="1"/>
    <col min="7" max="7" width="11.75390625" style="0" customWidth="1"/>
    <col min="8" max="8" width="20.50390625" style="0" customWidth="1"/>
    <col min="9" max="10" width="12.50390625" style="86" customWidth="1"/>
    <col min="11" max="26" width="7.625" style="0" customWidth="1"/>
  </cols>
  <sheetData>
    <row r="1" ht="14.25" customHeight="1"/>
    <row r="2" spans="5:10" ht="51.6" customHeight="1">
      <c r="E2" s="41" t="s">
        <v>72</v>
      </c>
      <c r="F2" s="41" t="s">
        <v>73</v>
      </c>
      <c r="G2" s="41" t="s">
        <v>74</v>
      </c>
      <c r="H2" s="41" t="s">
        <v>75</v>
      </c>
      <c r="I2" s="87" t="s">
        <v>76</v>
      </c>
      <c r="J2" s="88" t="s">
        <v>78</v>
      </c>
    </row>
    <row r="3" spans="2:10" ht="14.25" customHeight="1" thickBot="1">
      <c r="B3" s="1" t="s">
        <v>0</v>
      </c>
      <c r="C3" s="1" t="s">
        <v>2</v>
      </c>
      <c r="E3" s="41" t="s">
        <v>63</v>
      </c>
      <c r="F3" s="75">
        <v>4408211</v>
      </c>
      <c r="G3" s="76" t="s">
        <v>45</v>
      </c>
      <c r="H3" s="76" t="s">
        <v>44</v>
      </c>
      <c r="I3" s="86">
        <v>7.6</v>
      </c>
      <c r="J3" s="86">
        <f>I3/100*25</f>
        <v>1.9</v>
      </c>
    </row>
    <row r="4" spans="2:10" ht="14.25" customHeight="1" thickBot="1">
      <c r="B4" s="1" t="s">
        <v>40</v>
      </c>
      <c r="C4" s="1" t="s">
        <v>3</v>
      </c>
      <c r="E4" s="41" t="s">
        <v>64</v>
      </c>
      <c r="F4" s="75">
        <v>4408211</v>
      </c>
      <c r="G4" s="76" t="s">
        <v>45</v>
      </c>
      <c r="H4" s="76" t="s">
        <v>44</v>
      </c>
      <c r="I4" s="86">
        <v>7.6</v>
      </c>
      <c r="J4" s="86">
        <f aca="true" t="shared" si="0" ref="J4:J11">I4/100*25</f>
        <v>1.9</v>
      </c>
    </row>
    <row r="5" spans="2:10" ht="14.25" customHeight="1" thickBot="1">
      <c r="B5" s="1" t="s">
        <v>41</v>
      </c>
      <c r="C5" s="1" t="s">
        <v>4</v>
      </c>
      <c r="E5" s="41" t="s">
        <v>65</v>
      </c>
      <c r="F5" s="75">
        <v>4408211</v>
      </c>
      <c r="G5" s="76" t="s">
        <v>45</v>
      </c>
      <c r="H5" s="76" t="s">
        <v>44</v>
      </c>
      <c r="I5" s="86">
        <v>7.6</v>
      </c>
      <c r="J5" s="86">
        <f t="shared" si="0"/>
        <v>1.9</v>
      </c>
    </row>
    <row r="6" spans="2:10" ht="14.25" customHeight="1" thickBot="1">
      <c r="B6" s="1" t="s">
        <v>5</v>
      </c>
      <c r="C6" s="1" t="s">
        <v>6</v>
      </c>
      <c r="D6" s="1">
        <v>250</v>
      </c>
      <c r="E6" s="41" t="s">
        <v>66</v>
      </c>
      <c r="F6" s="75">
        <v>4408213</v>
      </c>
      <c r="G6" s="76" t="s">
        <v>47</v>
      </c>
      <c r="H6" s="76" t="s">
        <v>44</v>
      </c>
      <c r="I6" s="86">
        <v>9.9</v>
      </c>
      <c r="J6" s="86">
        <f t="shared" si="0"/>
        <v>2.475</v>
      </c>
    </row>
    <row r="7" spans="5:10" ht="14.25" customHeight="1" thickBot="1">
      <c r="E7" s="41" t="s">
        <v>67</v>
      </c>
      <c r="F7" s="75">
        <v>4408213</v>
      </c>
      <c r="G7" s="76" t="s">
        <v>47</v>
      </c>
      <c r="H7" s="76" t="s">
        <v>44</v>
      </c>
      <c r="I7" s="86">
        <v>9.9</v>
      </c>
      <c r="J7" s="86">
        <f t="shared" si="0"/>
        <v>2.475</v>
      </c>
    </row>
    <row r="8" spans="2:10" s="36" customFormat="1" ht="14.25" customHeight="1" thickBot="1">
      <c r="B8" s="42" t="s">
        <v>32</v>
      </c>
      <c r="E8" s="41" t="s">
        <v>68</v>
      </c>
      <c r="F8" s="75">
        <v>4408216</v>
      </c>
      <c r="G8" s="76" t="s">
        <v>48</v>
      </c>
      <c r="H8" s="76" t="s">
        <v>44</v>
      </c>
      <c r="I8" s="86">
        <v>4.6</v>
      </c>
      <c r="J8" s="86">
        <f t="shared" si="0"/>
        <v>1.15</v>
      </c>
    </row>
    <row r="9" spans="2:10" ht="14.25" customHeight="1" thickBot="1">
      <c r="B9" s="42" t="s">
        <v>34</v>
      </c>
      <c r="C9" s="42" t="s">
        <v>33</v>
      </c>
      <c r="E9" s="41" t="s">
        <v>69</v>
      </c>
      <c r="F9" s="75">
        <v>4408216</v>
      </c>
      <c r="G9" s="76" t="s">
        <v>48</v>
      </c>
      <c r="H9" s="76" t="s">
        <v>44</v>
      </c>
      <c r="I9" s="86">
        <v>4.6</v>
      </c>
      <c r="J9" s="86">
        <f t="shared" si="0"/>
        <v>1.15</v>
      </c>
    </row>
    <row r="10" spans="5:10" ht="14.25" customHeight="1" thickBot="1">
      <c r="E10" s="41" t="s">
        <v>70</v>
      </c>
      <c r="F10" s="75">
        <v>4408216</v>
      </c>
      <c r="G10" s="76" t="s">
        <v>48</v>
      </c>
      <c r="H10" s="76" t="s">
        <v>44</v>
      </c>
      <c r="I10" s="86">
        <v>4.6</v>
      </c>
      <c r="J10" s="86">
        <f t="shared" si="0"/>
        <v>1.15</v>
      </c>
    </row>
    <row r="11" spans="5:10" ht="14.25" customHeight="1" thickBot="1">
      <c r="E11" s="41" t="s">
        <v>71</v>
      </c>
      <c r="F11" s="75">
        <v>4408216</v>
      </c>
      <c r="G11" s="76" t="s">
        <v>48</v>
      </c>
      <c r="H11" s="76" t="s">
        <v>44</v>
      </c>
      <c r="I11" s="86">
        <v>4.6</v>
      </c>
      <c r="J11" s="86">
        <f t="shared" si="0"/>
        <v>1.15</v>
      </c>
    </row>
    <row r="12" ht="14.25" customHeight="1">
      <c r="E12" s="41"/>
    </row>
    <row r="13" ht="14.25" customHeight="1"/>
    <row r="14" ht="14.25" customHeight="1">
      <c r="B14" t="s">
        <v>83</v>
      </c>
    </row>
    <row r="15" ht="14.25" customHeight="1">
      <c r="B15" t="s">
        <v>89</v>
      </c>
    </row>
    <row r="16" ht="14.25" customHeight="1">
      <c r="B16" s="73" t="s">
        <v>97</v>
      </c>
    </row>
    <row r="17" ht="14.25" customHeight="1">
      <c r="B17" s="73"/>
    </row>
    <row r="18" ht="14.25" customHeight="1">
      <c r="B18" s="73"/>
    </row>
    <row r="19" ht="14.25" customHeight="1">
      <c r="B19" s="73" t="s">
        <v>77</v>
      </c>
    </row>
    <row r="20" ht="14.25" customHeight="1" thickBot="1">
      <c r="B20" s="73"/>
    </row>
    <row r="21" spans="2:5" ht="14.25" customHeight="1" thickBot="1">
      <c r="B21" s="83" t="s">
        <v>42</v>
      </c>
      <c r="C21" s="84">
        <v>4408210</v>
      </c>
      <c r="D21" s="85" t="s">
        <v>43</v>
      </c>
      <c r="E21" s="85" t="s">
        <v>44</v>
      </c>
    </row>
    <row r="22" spans="2:5" ht="14.25" customHeight="1" thickBot="1">
      <c r="B22" s="74" t="s">
        <v>42</v>
      </c>
      <c r="C22" s="75">
        <v>4408211</v>
      </c>
      <c r="D22" s="76" t="s">
        <v>45</v>
      </c>
      <c r="E22" s="76" t="s">
        <v>44</v>
      </c>
    </row>
    <row r="23" spans="2:5" ht="14.25" customHeight="1" thickBot="1">
      <c r="B23" s="74" t="s">
        <v>46</v>
      </c>
      <c r="C23" s="75">
        <v>4408213</v>
      </c>
      <c r="D23" s="76" t="s">
        <v>47</v>
      </c>
      <c r="E23" s="76" t="s">
        <v>44</v>
      </c>
    </row>
    <row r="24" spans="2:5" ht="14.25" customHeight="1" thickBot="1">
      <c r="B24" s="74" t="s">
        <v>42</v>
      </c>
      <c r="C24" s="75">
        <v>4408216</v>
      </c>
      <c r="D24" s="76" t="s">
        <v>48</v>
      </c>
      <c r="E24" s="76" t="s">
        <v>44</v>
      </c>
    </row>
    <row r="25" ht="14.25" customHeight="1">
      <c r="B25" s="73"/>
    </row>
    <row r="26" ht="14.25" customHeight="1">
      <c r="B26" s="77" t="s">
        <v>49</v>
      </c>
    </row>
    <row r="27" ht="14.25" customHeight="1" thickBot="1">
      <c r="B27" s="72"/>
    </row>
    <row r="28" spans="2:4" ht="14.25" customHeight="1" thickBot="1">
      <c r="B28" s="78" t="s">
        <v>50</v>
      </c>
      <c r="C28" s="79" t="s">
        <v>51</v>
      </c>
      <c r="D28" s="79" t="s">
        <v>52</v>
      </c>
    </row>
    <row r="29" spans="2:4" ht="14.25" customHeight="1" thickBot="1">
      <c r="B29" s="80">
        <v>4115400</v>
      </c>
      <c r="C29" s="81" t="s">
        <v>53</v>
      </c>
      <c r="D29" s="82">
        <v>3.6</v>
      </c>
    </row>
    <row r="30" spans="2:4" ht="14.25" customHeight="1" thickBot="1">
      <c r="B30" s="80">
        <v>4408210</v>
      </c>
      <c r="C30" s="81" t="s">
        <v>54</v>
      </c>
      <c r="D30" s="82">
        <v>4.5</v>
      </c>
    </row>
    <row r="31" spans="2:4" ht="14.25" customHeight="1" thickBot="1">
      <c r="B31" s="80">
        <v>4408211</v>
      </c>
      <c r="C31" s="81" t="s">
        <v>55</v>
      </c>
      <c r="D31" s="82">
        <v>7.6</v>
      </c>
    </row>
    <row r="32" spans="2:4" ht="14.25" customHeight="1" thickBot="1">
      <c r="B32" s="80">
        <v>4408213</v>
      </c>
      <c r="C32" s="81" t="s">
        <v>56</v>
      </c>
      <c r="D32" s="82">
        <v>9.9</v>
      </c>
    </row>
    <row r="33" spans="2:4" ht="14.25" customHeight="1" thickBot="1">
      <c r="B33" s="80">
        <v>4408216</v>
      </c>
      <c r="C33" s="81" t="s">
        <v>57</v>
      </c>
      <c r="D33" s="82">
        <v>4.6</v>
      </c>
    </row>
    <row r="34" spans="2:4" ht="14.25" customHeight="1" thickBot="1">
      <c r="B34" s="80">
        <v>4408165</v>
      </c>
      <c r="C34" s="81" t="s">
        <v>58</v>
      </c>
      <c r="D34" s="82">
        <v>46.1</v>
      </c>
    </row>
    <row r="35" spans="2:4" ht="14.25" customHeight="1" thickBot="1">
      <c r="B35" s="80">
        <v>4408166</v>
      </c>
      <c r="C35" s="81" t="s">
        <v>59</v>
      </c>
      <c r="D35" s="82">
        <v>62.4</v>
      </c>
    </row>
    <row r="36" spans="2:4" ht="14.25" customHeight="1" thickBot="1">
      <c r="B36" s="80">
        <v>4408167</v>
      </c>
      <c r="C36" s="81" t="s">
        <v>60</v>
      </c>
      <c r="D36" s="82">
        <v>85</v>
      </c>
    </row>
    <row r="37" spans="2:4" ht="14.25" customHeight="1" thickBot="1">
      <c r="B37" s="80">
        <v>4408168</v>
      </c>
      <c r="C37" s="81" t="s">
        <v>61</v>
      </c>
      <c r="D37" s="82">
        <v>99.2</v>
      </c>
    </row>
    <row r="38" spans="2:4" ht="14.25" customHeight="1" thickBot="1">
      <c r="B38" s="80">
        <v>4408169</v>
      </c>
      <c r="C38" s="81" t="s">
        <v>62</v>
      </c>
      <c r="D38" s="82">
        <v>115</v>
      </c>
    </row>
    <row r="39" ht="14.25" customHeight="1">
      <c r="B39" s="73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sheetProtection algorithmName="SHA-512" hashValue="n/PVrRRjpTDjcMFmVxNPG2fUC9TDHvZp70mrbpLjeVWwqRhgG2D4q0YW2wNTnCjziQ44gfgSPBwQ6PvN1EoVLg==" saltValue="YeDtVQVs2AKqKAKZ9gJ1JA==" spinCount="100000" sheet="1" objects="1" scenarios="1"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Benton</dc:creator>
  <cp:keywords/>
  <dc:description/>
  <cp:lastModifiedBy>Cristian Corato</cp:lastModifiedBy>
  <dcterms:created xsi:type="dcterms:W3CDTF">2020-09-23T13:15:33Z</dcterms:created>
  <dcterms:modified xsi:type="dcterms:W3CDTF">2021-06-25T13:44:30Z</dcterms:modified>
  <cp:category/>
  <cp:version/>
  <cp:contentType/>
  <cp:contentStatus/>
</cp:coreProperties>
</file>